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firstSheet="3" activeTab="3"/>
  </bookViews>
  <sheets>
    <sheet name="ДХШ" sheetId="5" state="hidden" r:id="rId1"/>
    <sheet name="ДХШ 2" sheetId="6" state="hidden" r:id="rId2"/>
    <sheet name="ДХШ 3" sheetId="7" state="hidden" r:id="rId3"/>
    <sheet name="Лист1" sheetId="1" r:id="rId4"/>
    <sheet name="Лист2" sheetId="2" state="hidden" r:id="rId5"/>
    <sheet name="Лист3" sheetId="4" state="hidden" r:id="rId6"/>
    <sheet name="КДЦ" sheetId="18" state="hidden" r:id="rId7"/>
    <sheet name="КДЦ 2" sheetId="19" state="hidden" r:id="rId8"/>
    <sheet name="КДЦ3" sheetId="20" state="hidden" r:id="rId9"/>
    <sheet name="ДШИ" sheetId="15" state="hidden" r:id="rId10"/>
    <sheet name="ДШИ 2" sheetId="16" state="hidden" r:id="rId11"/>
    <sheet name="ДШИ 3" sheetId="17" state="hidden" r:id="rId12"/>
    <sheet name="ЦКС" sheetId="8" state="hidden" r:id="rId13"/>
    <sheet name="ЦКС 2" sheetId="9" state="hidden" r:id="rId14"/>
    <sheet name="ЦКС 3" sheetId="10" state="hidden" r:id="rId15"/>
    <sheet name="нормативные 3" sheetId="21" state="hidden" r:id="rId16"/>
    <sheet name="ЦКС 4" sheetId="11" state="hidden" r:id="rId17"/>
  </sheets>
  <externalReferences>
    <externalReference r:id="rId18"/>
  </externalReferences>
  <definedNames>
    <definedName name="_xlnm.Print_Area" localSheetId="4">Лист2!$A$1:$I$85</definedName>
    <definedName name="_xlnm.Print_Area" localSheetId="5">Лист3!$A$1:$I$74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43" i="1" l="1"/>
  <c r="G544" i="1"/>
  <c r="G545" i="1"/>
  <c r="G546" i="1"/>
  <c r="G547" i="1"/>
  <c r="G548" i="1"/>
  <c r="G549" i="1"/>
  <c r="G550" i="1"/>
  <c r="G542" i="1"/>
  <c r="G539" i="1"/>
  <c r="G538" i="1"/>
  <c r="G534" i="1"/>
  <c r="G533" i="1"/>
  <c r="G531" i="1"/>
  <c r="G532" i="1"/>
  <c r="G530" i="1"/>
  <c r="G526" i="1"/>
  <c r="G527" i="1"/>
  <c r="G525" i="1"/>
  <c r="G522" i="1"/>
  <c r="G521" i="1"/>
  <c r="G321" i="1"/>
  <c r="G322" i="1"/>
  <c r="G323" i="1"/>
  <c r="G324" i="1"/>
  <c r="G320" i="1"/>
  <c r="G176" i="1"/>
  <c r="G177" i="1"/>
  <c r="G175" i="1"/>
  <c r="G163" i="1"/>
  <c r="G164" i="1"/>
  <c r="G162" i="1"/>
  <c r="G161" i="1"/>
  <c r="H37" i="17" l="1"/>
  <c r="H34" i="17"/>
  <c r="H32" i="17"/>
  <c r="H15" i="17"/>
  <c r="H14" i="17"/>
  <c r="H13" i="17"/>
  <c r="H11" i="17"/>
  <c r="H8" i="17"/>
  <c r="H7" i="17"/>
  <c r="H6" i="17"/>
  <c r="J37" i="17"/>
  <c r="J35" i="17"/>
  <c r="J34" i="17"/>
  <c r="J33" i="17"/>
  <c r="J32" i="17"/>
  <c r="J31" i="17"/>
  <c r="J28" i="17"/>
  <c r="J27" i="17"/>
  <c r="J24" i="17"/>
  <c r="J23" i="17"/>
  <c r="J15" i="17"/>
  <c r="J14" i="17"/>
  <c r="J13" i="17"/>
  <c r="J11" i="17"/>
  <c r="J8" i="17"/>
  <c r="J7" i="17"/>
  <c r="J6" i="17"/>
  <c r="E37" i="17"/>
  <c r="E35" i="17"/>
  <c r="E34" i="17"/>
  <c r="E33" i="17"/>
  <c r="E32" i="17"/>
  <c r="E31" i="17"/>
  <c r="E28" i="17"/>
  <c r="E27" i="17"/>
  <c r="E24" i="17"/>
  <c r="E23" i="17"/>
  <c r="E15" i="17"/>
  <c r="E14" i="17"/>
  <c r="E13" i="17"/>
  <c r="E11" i="17"/>
  <c r="E8" i="17"/>
  <c r="E7" i="17"/>
  <c r="E6" i="17"/>
  <c r="C6" i="17"/>
  <c r="F45" i="17"/>
  <c r="I45" i="17"/>
  <c r="M43" i="17"/>
  <c r="L43" i="17"/>
  <c r="K43" i="17"/>
  <c r="F47" i="7"/>
  <c r="F50" i="7" s="1"/>
  <c r="F45" i="7"/>
  <c r="N42" i="7"/>
  <c r="P44" i="20"/>
  <c r="E5" i="8"/>
  <c r="W58" i="10"/>
  <c r="W56" i="10" l="1"/>
  <c r="Q37" i="10"/>
  <c r="Q34" i="10"/>
  <c r="Q33" i="10"/>
  <c r="Q32" i="10"/>
  <c r="Q31" i="10"/>
  <c r="O37" i="10"/>
  <c r="O36" i="10"/>
  <c r="O34" i="10"/>
  <c r="O33" i="10"/>
  <c r="O32" i="10"/>
  <c r="O31" i="10"/>
  <c r="V28" i="10"/>
  <c r="V27" i="10"/>
  <c r="T28" i="10"/>
  <c r="T27" i="10"/>
  <c r="Q28" i="10"/>
  <c r="Q27" i="10"/>
  <c r="O28" i="10"/>
  <c r="O27" i="10"/>
  <c r="V24" i="10"/>
  <c r="V23" i="10"/>
  <c r="T24" i="10"/>
  <c r="T23" i="10"/>
  <c r="Q24" i="10"/>
  <c r="O24" i="10"/>
  <c r="O23" i="10"/>
  <c r="V20" i="10"/>
  <c r="V19" i="10"/>
  <c r="Q20" i="10"/>
  <c r="Q19" i="10"/>
  <c r="T20" i="10"/>
  <c r="T19" i="10"/>
  <c r="O20" i="10"/>
  <c r="O19" i="10"/>
  <c r="C20" i="10"/>
  <c r="C19" i="10"/>
  <c r="V12" i="10"/>
  <c r="Q16" i="10"/>
  <c r="Q15" i="10"/>
  <c r="Q13" i="10"/>
  <c r="Q12" i="10"/>
  <c r="Q11" i="10"/>
  <c r="O16" i="10"/>
  <c r="O15" i="10"/>
  <c r="O13" i="10"/>
  <c r="O12" i="10"/>
  <c r="O11" i="10"/>
  <c r="O8" i="10"/>
  <c r="Q8" i="10"/>
  <c r="Q7" i="10"/>
  <c r="Q6" i="10"/>
  <c r="O7" i="10"/>
  <c r="O6" i="10"/>
  <c r="F42" i="7"/>
  <c r="F41" i="7"/>
  <c r="G302" i="1" l="1"/>
  <c r="G301" i="1"/>
  <c r="B302" i="1"/>
  <c r="B301" i="1"/>
  <c r="J219" i="21" l="1"/>
  <c r="N12" i="18"/>
  <c r="N11" i="18"/>
  <c r="N5" i="18"/>
  <c r="P12" i="18"/>
  <c r="P11" i="18"/>
  <c r="J305" i="21"/>
  <c r="J304" i="21"/>
  <c r="G305" i="21"/>
  <c r="G304" i="21"/>
  <c r="I304" i="21" s="1"/>
  <c r="B305" i="21"/>
  <c r="B304" i="21"/>
  <c r="F39" i="20"/>
  <c r="F18" i="19"/>
  <c r="F12" i="19"/>
  <c r="G193" i="21"/>
  <c r="G194" i="21"/>
  <c r="G195" i="21"/>
  <c r="G196" i="21"/>
  <c r="G197" i="21"/>
  <c r="G198" i="21"/>
  <c r="G199" i="21"/>
  <c r="F4" i="18"/>
  <c r="K28" i="20"/>
  <c r="F28" i="20"/>
  <c r="Q12" i="18"/>
  <c r="Q11" i="18"/>
  <c r="L12" i="18"/>
  <c r="L11" i="18"/>
  <c r="G10" i="18"/>
  <c r="G9" i="18"/>
  <c r="Q5" i="18"/>
  <c r="L6" i="18"/>
  <c r="L4" i="18"/>
  <c r="G5" i="18"/>
  <c r="G6" i="18"/>
  <c r="G7" i="18"/>
  <c r="G8" i="18"/>
  <c r="G4" i="18"/>
  <c r="I305" i="21" l="1"/>
  <c r="P28" i="20"/>
  <c r="O34" i="20"/>
  <c r="O33" i="20"/>
  <c r="J34" i="20"/>
  <c r="J33" i="20"/>
  <c r="O27" i="20"/>
  <c r="J28" i="20"/>
  <c r="J27" i="20"/>
  <c r="O24" i="20"/>
  <c r="O23" i="20"/>
  <c r="J24" i="20"/>
  <c r="J23" i="20"/>
  <c r="M16" i="20"/>
  <c r="M15" i="20"/>
  <c r="M14" i="20"/>
  <c r="M13" i="20"/>
  <c r="M12" i="20"/>
  <c r="M11" i="20"/>
  <c r="O16" i="20"/>
  <c r="O15" i="20"/>
  <c r="O14" i="20"/>
  <c r="O13" i="20"/>
  <c r="O12" i="20"/>
  <c r="O11" i="20"/>
  <c r="J16" i="20"/>
  <c r="J15" i="20"/>
  <c r="J14" i="20"/>
  <c r="J13" i="20"/>
  <c r="J12" i="20"/>
  <c r="J11" i="20"/>
  <c r="J7" i="20"/>
  <c r="J6" i="20"/>
  <c r="H7" i="20"/>
  <c r="H6" i="20"/>
  <c r="C34" i="20"/>
  <c r="E33" i="20"/>
  <c r="C33" i="20"/>
  <c r="C28" i="20"/>
  <c r="C27" i="20"/>
  <c r="E28" i="20"/>
  <c r="E27" i="20"/>
  <c r="C24" i="20"/>
  <c r="C23" i="20"/>
  <c r="C16" i="20"/>
  <c r="C15" i="20"/>
  <c r="C14" i="20"/>
  <c r="C13" i="20"/>
  <c r="C12" i="20"/>
  <c r="C11" i="20"/>
  <c r="C6" i="20"/>
  <c r="E36" i="20"/>
  <c r="E34" i="20"/>
  <c r="E24" i="20"/>
  <c r="E23" i="20"/>
  <c r="E16" i="20"/>
  <c r="E15" i="20"/>
  <c r="E14" i="20"/>
  <c r="E13" i="20"/>
  <c r="E12" i="20"/>
  <c r="E11" i="20"/>
  <c r="E8" i="20"/>
  <c r="E7" i="20"/>
  <c r="E6" i="20"/>
  <c r="Z22" i="20" l="1"/>
  <c r="Z10" i="20"/>
  <c r="Z5" i="20"/>
  <c r="D4" i="18"/>
  <c r="U12" i="18" l="1"/>
  <c r="U11" i="18"/>
  <c r="I11" i="18"/>
  <c r="L13" i="18"/>
  <c r="I12" i="18"/>
  <c r="K12" i="18"/>
  <c r="K11" i="18" l="1"/>
  <c r="Q13" i="18"/>
  <c r="O11" i="19"/>
  <c r="P11" i="19" s="1"/>
  <c r="X29" i="20"/>
  <c r="Y29" i="20"/>
  <c r="X33" i="20"/>
  <c r="Y33" i="20"/>
  <c r="X34" i="20"/>
  <c r="Y34" i="20"/>
  <c r="P34" i="20"/>
  <c r="K34" i="20"/>
  <c r="F34" i="20"/>
  <c r="P33" i="20"/>
  <c r="K33" i="20"/>
  <c r="F33" i="20"/>
  <c r="X27" i="20"/>
  <c r="Y27" i="20" s="1"/>
  <c r="O28" i="20"/>
  <c r="P27" i="20"/>
  <c r="K27" i="20"/>
  <c r="F27" i="20"/>
  <c r="X7" i="20"/>
  <c r="Y7" i="20"/>
  <c r="X8" i="20"/>
  <c r="Y8" i="20"/>
  <c r="X11" i="20"/>
  <c r="Y11" i="20"/>
  <c r="X12" i="20"/>
  <c r="Y12" i="20"/>
  <c r="X13" i="20"/>
  <c r="Y13" i="20"/>
  <c r="X14" i="20"/>
  <c r="Y14" i="20"/>
  <c r="X15" i="20"/>
  <c r="Y15" i="20"/>
  <c r="X16" i="20"/>
  <c r="Y16" i="20"/>
  <c r="X17" i="20"/>
  <c r="Y17" i="20"/>
  <c r="X18" i="20"/>
  <c r="Y18" i="20"/>
  <c r="X19" i="20"/>
  <c r="Y19" i="20"/>
  <c r="X20" i="20"/>
  <c r="Y20" i="20"/>
  <c r="X21" i="20"/>
  <c r="Y21" i="20"/>
  <c r="X23" i="20"/>
  <c r="Y23" i="20"/>
  <c r="X24" i="20"/>
  <c r="Y24" i="20"/>
  <c r="F24" i="20"/>
  <c r="P24" i="20" s="1"/>
  <c r="K24" i="20"/>
  <c r="P23" i="20"/>
  <c r="K23" i="20"/>
  <c r="F23" i="20"/>
  <c r="P7" i="20"/>
  <c r="P8" i="20"/>
  <c r="K7" i="20"/>
  <c r="K8" i="20"/>
  <c r="F7" i="20"/>
  <c r="F8" i="20"/>
  <c r="Y6" i="20"/>
  <c r="X6" i="20"/>
  <c r="P6" i="20"/>
  <c r="P12" i="20"/>
  <c r="P13" i="20"/>
  <c r="P14" i="20"/>
  <c r="P15" i="20"/>
  <c r="P16" i="20"/>
  <c r="K12" i="20"/>
  <c r="K13" i="20"/>
  <c r="K14" i="20"/>
  <c r="K15" i="20"/>
  <c r="K16" i="20"/>
  <c r="F12" i="20"/>
  <c r="F13" i="20"/>
  <c r="F14" i="20"/>
  <c r="F15" i="20"/>
  <c r="F16" i="20"/>
  <c r="P11" i="20"/>
  <c r="K11" i="20"/>
  <c r="F11" i="20"/>
  <c r="K6" i="20"/>
  <c r="F6" i="20"/>
  <c r="V27" i="20"/>
  <c r="X28" i="20" l="1"/>
  <c r="Y28" i="20" s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437" i="1"/>
  <c r="G438" i="1"/>
  <c r="G439" i="1"/>
  <c r="G440" i="1"/>
  <c r="G441" i="1"/>
  <c r="G442" i="1"/>
  <c r="G443" i="1"/>
  <c r="G436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21" i="1"/>
  <c r="G365" i="1"/>
  <c r="G366" i="1"/>
  <c r="G367" i="1"/>
  <c r="G368" i="1"/>
  <c r="G369" i="1"/>
  <c r="G370" i="1"/>
  <c r="G371" i="1"/>
  <c r="G364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49" i="1"/>
  <c r="G235" i="1" l="1"/>
  <c r="B177" i="1"/>
  <c r="B176" i="1"/>
  <c r="B175" i="21"/>
  <c r="B175" i="1"/>
  <c r="G503" i="21"/>
  <c r="G504" i="21"/>
  <c r="G505" i="21"/>
  <c r="G506" i="21"/>
  <c r="G507" i="21"/>
  <c r="G508" i="21"/>
  <c r="G509" i="21"/>
  <c r="G510" i="21"/>
  <c r="G511" i="21"/>
  <c r="G512" i="21"/>
  <c r="G513" i="21"/>
  <c r="G514" i="21"/>
  <c r="G474" i="21"/>
  <c r="G473" i="21"/>
  <c r="G457" i="21"/>
  <c r="G456" i="21"/>
  <c r="G427" i="21"/>
  <c r="G428" i="21"/>
  <c r="G429" i="21"/>
  <c r="G430" i="21"/>
  <c r="G431" i="21"/>
  <c r="G432" i="21"/>
  <c r="G433" i="21"/>
  <c r="G434" i="21"/>
  <c r="G435" i="21"/>
  <c r="G436" i="21"/>
  <c r="G437" i="21"/>
  <c r="G438" i="21"/>
  <c r="G439" i="21"/>
  <c r="G426" i="21"/>
  <c r="G400" i="21"/>
  <c r="G399" i="21"/>
  <c r="G387" i="21"/>
  <c r="G388" i="21"/>
  <c r="G386" i="21"/>
  <c r="G383" i="21"/>
  <c r="G382" i="21"/>
  <c r="G369" i="21"/>
  <c r="G370" i="21"/>
  <c r="G371" i="21"/>
  <c r="G372" i="21"/>
  <c r="G373" i="21"/>
  <c r="G374" i="21"/>
  <c r="G375" i="21"/>
  <c r="G368" i="21"/>
  <c r="G353" i="21"/>
  <c r="G354" i="21"/>
  <c r="G355" i="21"/>
  <c r="G356" i="21"/>
  <c r="G357" i="21"/>
  <c r="G358" i="21"/>
  <c r="G359" i="21"/>
  <c r="G360" i="21"/>
  <c r="G361" i="21"/>
  <c r="G362" i="21"/>
  <c r="G363" i="21"/>
  <c r="G364" i="21"/>
  <c r="G365" i="21"/>
  <c r="G352" i="21"/>
  <c r="G555" i="21"/>
  <c r="G556" i="21"/>
  <c r="G557" i="21"/>
  <c r="G558" i="21"/>
  <c r="G559" i="21"/>
  <c r="G560" i="21"/>
  <c r="G554" i="21"/>
  <c r="G553" i="21"/>
  <c r="G541" i="21"/>
  <c r="G542" i="21"/>
  <c r="G543" i="21"/>
  <c r="G544" i="21"/>
  <c r="G545" i="21"/>
  <c r="G540" i="21"/>
  <c r="G480" i="21"/>
  <c r="G481" i="21"/>
  <c r="G482" i="21"/>
  <c r="G483" i="21"/>
  <c r="G484" i="21"/>
  <c r="G485" i="21"/>
  <c r="G479" i="21"/>
  <c r="G478" i="21"/>
  <c r="G477" i="21"/>
  <c r="G443" i="21"/>
  <c r="G444" i="21"/>
  <c r="G445" i="21"/>
  <c r="G446" i="21"/>
  <c r="G447" i="21"/>
  <c r="G448" i="21"/>
  <c r="G449" i="21"/>
  <c r="G442" i="21"/>
  <c r="G466" i="21"/>
  <c r="G467" i="21"/>
  <c r="G468" i="21"/>
  <c r="G469" i="21"/>
  <c r="G470" i="21"/>
  <c r="G465" i="21"/>
  <c r="G461" i="21"/>
  <c r="G462" i="21"/>
  <c r="G460" i="21"/>
  <c r="C6" i="10"/>
  <c r="E6" i="10"/>
  <c r="F444" i="21"/>
  <c r="G404" i="21"/>
  <c r="G403" i="21"/>
  <c r="G406" i="21"/>
  <c r="G407" i="21"/>
  <c r="G408" i="21"/>
  <c r="G409" i="21"/>
  <c r="G410" i="21"/>
  <c r="G411" i="21"/>
  <c r="G405" i="21"/>
  <c r="G392" i="21"/>
  <c r="G393" i="21"/>
  <c r="G394" i="21"/>
  <c r="G395" i="21"/>
  <c r="G396" i="21"/>
  <c r="G391" i="21"/>
  <c r="T31" i="10"/>
  <c r="C31" i="10"/>
  <c r="T37" i="10"/>
  <c r="T36" i="10"/>
  <c r="T34" i="10"/>
  <c r="T33" i="10"/>
  <c r="T32" i="10"/>
  <c r="C37" i="10"/>
  <c r="C36" i="10"/>
  <c r="C34" i="10"/>
  <c r="C33" i="10"/>
  <c r="C32" i="10"/>
  <c r="T16" i="10"/>
  <c r="T15" i="10"/>
  <c r="T13" i="10"/>
  <c r="T12" i="10"/>
  <c r="T11" i="10"/>
  <c r="C16" i="10"/>
  <c r="C15" i="10"/>
  <c r="C13" i="10"/>
  <c r="C12" i="10"/>
  <c r="C11" i="10"/>
  <c r="R16" i="20"/>
  <c r="G328" i="21"/>
  <c r="H16" i="20"/>
  <c r="G280" i="21" s="1"/>
  <c r="G227" i="21"/>
  <c r="G278" i="21"/>
  <c r="C36" i="20"/>
  <c r="G236" i="21" s="1"/>
  <c r="R34" i="20"/>
  <c r="M34" i="20"/>
  <c r="G336" i="21" s="1"/>
  <c r="H34" i="20"/>
  <c r="R15" i="20"/>
  <c r="R14" i="20"/>
  <c r="R13" i="20"/>
  <c r="R12" i="20"/>
  <c r="R11" i="20"/>
  <c r="G327" i="21"/>
  <c r="G326" i="21"/>
  <c r="G325" i="21"/>
  <c r="G324" i="21"/>
  <c r="G323" i="21"/>
  <c r="H15" i="20"/>
  <c r="G279" i="21" s="1"/>
  <c r="H14" i="20"/>
  <c r="H13" i="20"/>
  <c r="G277" i="21" s="1"/>
  <c r="H12" i="20"/>
  <c r="G276" i="21" s="1"/>
  <c r="H11" i="20"/>
  <c r="G275" i="21" s="1"/>
  <c r="G172" i="21"/>
  <c r="G173" i="21"/>
  <c r="G174" i="21"/>
  <c r="G175" i="21"/>
  <c r="G176" i="21"/>
  <c r="G177" i="21"/>
  <c r="G171" i="21"/>
  <c r="G161" i="21"/>
  <c r="G162" i="21"/>
  <c r="G163" i="21"/>
  <c r="G164" i="21"/>
  <c r="G160" i="21"/>
  <c r="H35" i="17"/>
  <c r="C37" i="17"/>
  <c r="C35" i="17"/>
  <c r="C34" i="17"/>
  <c r="C32" i="17"/>
  <c r="C15" i="17"/>
  <c r="C14" i="17"/>
  <c r="C13" i="17"/>
  <c r="C11" i="17"/>
  <c r="G42" i="21"/>
  <c r="G43" i="21"/>
  <c r="G44" i="21"/>
  <c r="G41" i="21"/>
  <c r="C36" i="7"/>
  <c r="C33" i="7"/>
  <c r="C31" i="7"/>
  <c r="C30" i="7"/>
  <c r="C14" i="7"/>
  <c r="C13" i="7"/>
  <c r="C12" i="7"/>
  <c r="C11" i="7"/>
  <c r="V49" i="10" l="1"/>
  <c r="E49" i="10"/>
  <c r="V47" i="10"/>
  <c r="E47" i="10"/>
  <c r="C41" i="9"/>
  <c r="C13" i="9"/>
  <c r="V46" i="10"/>
  <c r="E46" i="10"/>
  <c r="F57" i="8"/>
  <c r="F19" i="8"/>
  <c r="J557" i="21"/>
  <c r="I557" i="21" s="1"/>
  <c r="J554" i="21"/>
  <c r="I554" i="21" s="1"/>
  <c r="E40" i="10"/>
  <c r="V40" i="10"/>
  <c r="J406" i="21"/>
  <c r="I406" i="21" s="1"/>
  <c r="J407" i="21"/>
  <c r="I407" i="21" s="1"/>
  <c r="J408" i="21"/>
  <c r="I408" i="21" s="1"/>
  <c r="J409" i="21"/>
  <c r="I409" i="21" s="1"/>
  <c r="J410" i="21"/>
  <c r="I410" i="21" s="1"/>
  <c r="J411" i="21"/>
  <c r="I411" i="21" s="1"/>
  <c r="J405" i="21"/>
  <c r="I405" i="21" s="1"/>
  <c r="J404" i="21"/>
  <c r="I404" i="21" s="1"/>
  <c r="J403" i="21"/>
  <c r="I403" i="21" s="1"/>
  <c r="J400" i="21"/>
  <c r="I400" i="21" s="1"/>
  <c r="J399" i="21"/>
  <c r="B396" i="21"/>
  <c r="J392" i="21"/>
  <c r="J393" i="21"/>
  <c r="J394" i="21"/>
  <c r="J395" i="21"/>
  <c r="J396" i="21"/>
  <c r="I396" i="21" s="1"/>
  <c r="J391" i="21"/>
  <c r="J387" i="21"/>
  <c r="I387" i="21" s="1"/>
  <c r="J388" i="21"/>
  <c r="I388" i="21" s="1"/>
  <c r="J386" i="21"/>
  <c r="J383" i="21"/>
  <c r="I383" i="21" s="1"/>
  <c r="J382" i="21"/>
  <c r="J369" i="21"/>
  <c r="I369" i="21" s="1"/>
  <c r="J370" i="21"/>
  <c r="I370" i="21" s="1"/>
  <c r="J371" i="21"/>
  <c r="I371" i="21" s="1"/>
  <c r="J372" i="21"/>
  <c r="I372" i="21" s="1"/>
  <c r="J373" i="21"/>
  <c r="I373" i="21" s="1"/>
  <c r="J374" i="21"/>
  <c r="I374" i="21" s="1"/>
  <c r="J375" i="21"/>
  <c r="I375" i="21" s="1"/>
  <c r="J368" i="21"/>
  <c r="I368" i="21" s="1"/>
  <c r="J353" i="21"/>
  <c r="I353" i="21" s="1"/>
  <c r="J354" i="21"/>
  <c r="I354" i="21" s="1"/>
  <c r="J355" i="21"/>
  <c r="I355" i="21" s="1"/>
  <c r="J356" i="21"/>
  <c r="I356" i="21" s="1"/>
  <c r="J357" i="21"/>
  <c r="I357" i="21" s="1"/>
  <c r="J358" i="21"/>
  <c r="I358" i="21" s="1"/>
  <c r="J359" i="21"/>
  <c r="I359" i="21" s="1"/>
  <c r="J360" i="21"/>
  <c r="I360" i="21" s="1"/>
  <c r="J361" i="21"/>
  <c r="I361" i="21" s="1"/>
  <c r="J362" i="21"/>
  <c r="I362" i="21" s="1"/>
  <c r="J363" i="21"/>
  <c r="I363" i="21" s="1"/>
  <c r="J364" i="21"/>
  <c r="I364" i="21" s="1"/>
  <c r="J365" i="21"/>
  <c r="I365" i="21" s="1"/>
  <c r="J352" i="21"/>
  <c r="J555" i="21"/>
  <c r="I555" i="21" s="1"/>
  <c r="J556" i="21"/>
  <c r="I556" i="21" s="1"/>
  <c r="J558" i="21"/>
  <c r="I558" i="21" s="1"/>
  <c r="J559" i="21"/>
  <c r="I559" i="21" s="1"/>
  <c r="J560" i="21"/>
  <c r="I560" i="21" s="1"/>
  <c r="B545" i="21"/>
  <c r="J543" i="21"/>
  <c r="I543" i="21" s="1"/>
  <c r="J480" i="21"/>
  <c r="I480" i="21" s="1"/>
  <c r="J481" i="21"/>
  <c r="I481" i="21" s="1"/>
  <c r="J482" i="21"/>
  <c r="I482" i="21" s="1"/>
  <c r="J483" i="21"/>
  <c r="I483" i="21" s="1"/>
  <c r="J484" i="21"/>
  <c r="I484" i="21" s="1"/>
  <c r="J485" i="21"/>
  <c r="I485" i="21" s="1"/>
  <c r="J479" i="21"/>
  <c r="I479" i="21" s="1"/>
  <c r="J478" i="21"/>
  <c r="I478" i="21" s="1"/>
  <c r="J477" i="21"/>
  <c r="I477" i="21" s="1"/>
  <c r="F479" i="21"/>
  <c r="F480" i="21"/>
  <c r="F481" i="21"/>
  <c r="F483" i="21"/>
  <c r="F484" i="21"/>
  <c r="F478" i="21"/>
  <c r="J474" i="21"/>
  <c r="J473" i="21"/>
  <c r="I473" i="21" s="1"/>
  <c r="B470" i="21"/>
  <c r="J470" i="21"/>
  <c r="I470" i="21" s="1"/>
  <c r="J466" i="21"/>
  <c r="I466" i="21" s="1"/>
  <c r="J467" i="21"/>
  <c r="I467" i="21" s="1"/>
  <c r="J468" i="21"/>
  <c r="I468" i="21" s="1"/>
  <c r="J469" i="21"/>
  <c r="I469" i="21" s="1"/>
  <c r="J465" i="21"/>
  <c r="I465" i="21" s="1"/>
  <c r="J461" i="21"/>
  <c r="I461" i="21" s="1"/>
  <c r="J462" i="21"/>
  <c r="I462" i="21" s="1"/>
  <c r="J460" i="21"/>
  <c r="I460" i="21" s="1"/>
  <c r="J457" i="21"/>
  <c r="I457" i="21" s="1"/>
  <c r="J456" i="21"/>
  <c r="I456" i="21" s="1"/>
  <c r="J443" i="21"/>
  <c r="I443" i="21" s="1"/>
  <c r="J444" i="21"/>
  <c r="I444" i="21" s="1"/>
  <c r="J445" i="21"/>
  <c r="I445" i="21" s="1"/>
  <c r="J446" i="21"/>
  <c r="I446" i="21" s="1"/>
  <c r="J447" i="21"/>
  <c r="I447" i="21" s="1"/>
  <c r="J448" i="21"/>
  <c r="I448" i="21" s="1"/>
  <c r="J449" i="21"/>
  <c r="I449" i="21" s="1"/>
  <c r="J442" i="21"/>
  <c r="I442" i="21" s="1"/>
  <c r="J427" i="21"/>
  <c r="I427" i="21" s="1"/>
  <c r="J428" i="21"/>
  <c r="I428" i="21" s="1"/>
  <c r="J429" i="21"/>
  <c r="I429" i="21" s="1"/>
  <c r="J430" i="21"/>
  <c r="I430" i="21" s="1"/>
  <c r="J431" i="21"/>
  <c r="I431" i="21" s="1"/>
  <c r="J432" i="21"/>
  <c r="I432" i="21" s="1"/>
  <c r="J433" i="21"/>
  <c r="I433" i="21" s="1"/>
  <c r="J434" i="21"/>
  <c r="I434" i="21" s="1"/>
  <c r="J435" i="21"/>
  <c r="I435" i="21" s="1"/>
  <c r="J436" i="21"/>
  <c r="I436" i="21" s="1"/>
  <c r="J437" i="21"/>
  <c r="I437" i="21" s="1"/>
  <c r="J438" i="21"/>
  <c r="I438" i="21" s="1"/>
  <c r="J439" i="21"/>
  <c r="I439" i="21" s="1"/>
  <c r="J426" i="21"/>
  <c r="I426" i="21" s="1"/>
  <c r="B328" i="21"/>
  <c r="B236" i="21"/>
  <c r="J214" i="21"/>
  <c r="J230" i="21"/>
  <c r="J218" i="21"/>
  <c r="J217" i="21"/>
  <c r="G335" i="21"/>
  <c r="B280" i="21"/>
  <c r="J254" i="21"/>
  <c r="J253" i="21"/>
  <c r="B227" i="21"/>
  <c r="J213" i="21"/>
  <c r="J204" i="21"/>
  <c r="D14" i="19"/>
  <c r="J209" i="21" s="1"/>
  <c r="S10" i="19"/>
  <c r="S9" i="19"/>
  <c r="N11" i="19"/>
  <c r="J308" i="21" s="1"/>
  <c r="I9" i="19"/>
  <c r="J257" i="21" s="1"/>
  <c r="D7" i="19"/>
  <c r="D6" i="19"/>
  <c r="J203" i="21" s="1"/>
  <c r="D5" i="19"/>
  <c r="J202" i="21" s="1"/>
  <c r="J118" i="21"/>
  <c r="I118" i="21" s="1"/>
  <c r="B118" i="21"/>
  <c r="G43" i="17"/>
  <c r="B177" i="21"/>
  <c r="B176" i="21"/>
  <c r="J177" i="21"/>
  <c r="I177" i="21" s="1"/>
  <c r="J176" i="21"/>
  <c r="I176" i="21" s="1"/>
  <c r="F176" i="21"/>
  <c r="J40" i="17"/>
  <c r="F26" i="17"/>
  <c r="F10" i="17"/>
  <c r="F40" i="17"/>
  <c r="F41" i="17"/>
  <c r="J12" i="16"/>
  <c r="E12" i="16"/>
  <c r="J172" i="21"/>
  <c r="J173" i="21"/>
  <c r="I173" i="21" s="1"/>
  <c r="J174" i="21"/>
  <c r="I174" i="21" s="1"/>
  <c r="J175" i="21"/>
  <c r="I175" i="21" s="1"/>
  <c r="J171" i="21"/>
  <c r="I171" i="21" s="1"/>
  <c r="J168" i="21"/>
  <c r="J167" i="21"/>
  <c r="J164" i="21"/>
  <c r="I164" i="21" s="1"/>
  <c r="F163" i="21"/>
  <c r="B164" i="21"/>
  <c r="J161" i="21"/>
  <c r="I161" i="21" s="1"/>
  <c r="J162" i="21"/>
  <c r="I162" i="21" s="1"/>
  <c r="J163" i="21"/>
  <c r="I163" i="21" s="1"/>
  <c r="J160" i="21"/>
  <c r="I160" i="21" s="1"/>
  <c r="J156" i="21"/>
  <c r="J157" i="21"/>
  <c r="J155" i="21"/>
  <c r="J152" i="21"/>
  <c r="J151" i="21"/>
  <c r="J138" i="21"/>
  <c r="J139" i="21"/>
  <c r="J140" i="21"/>
  <c r="J141" i="21"/>
  <c r="J142" i="21"/>
  <c r="J143" i="21"/>
  <c r="J144" i="21"/>
  <c r="J137" i="21"/>
  <c r="J78" i="21"/>
  <c r="J79" i="21"/>
  <c r="J80" i="21"/>
  <c r="J81" i="21"/>
  <c r="J82" i="21"/>
  <c r="J83" i="21"/>
  <c r="J84" i="21"/>
  <c r="J77" i="21"/>
  <c r="E4" i="16"/>
  <c r="J5" i="16"/>
  <c r="J6" i="16"/>
  <c r="J7" i="16"/>
  <c r="J8" i="16"/>
  <c r="J9" i="16"/>
  <c r="J10" i="16"/>
  <c r="J11" i="16"/>
  <c r="J4" i="16"/>
  <c r="E11" i="16"/>
  <c r="E10" i="16"/>
  <c r="E9" i="16"/>
  <c r="E8" i="16"/>
  <c r="E7" i="16"/>
  <c r="E6" i="16"/>
  <c r="E5" i="16"/>
  <c r="D4" i="16"/>
  <c r="I4" i="16"/>
  <c r="J134" i="21"/>
  <c r="J114" i="21"/>
  <c r="J115" i="21"/>
  <c r="J116" i="21"/>
  <c r="J117" i="21"/>
  <c r="J119" i="21"/>
  <c r="J113" i="21"/>
  <c r="J110" i="21"/>
  <c r="J109" i="21"/>
  <c r="J102" i="21"/>
  <c r="J103" i="21"/>
  <c r="J104" i="21"/>
  <c r="J105" i="21"/>
  <c r="J101" i="21"/>
  <c r="J97" i="21"/>
  <c r="J98" i="21"/>
  <c r="J96" i="21"/>
  <c r="J92" i="21"/>
  <c r="J91" i="21"/>
  <c r="J74" i="21"/>
  <c r="J215" i="21" l="1"/>
  <c r="J384" i="21"/>
  <c r="I382" i="21"/>
  <c r="J135" i="21"/>
  <c r="J376" i="21"/>
  <c r="J412" i="21"/>
  <c r="J75" i="21"/>
  <c r="J210" i="21"/>
  <c r="J475" i="21"/>
  <c r="I474" i="21"/>
  <c r="I399" i="21"/>
  <c r="J401" i="21"/>
  <c r="J397" i="21"/>
  <c r="J389" i="21"/>
  <c r="I386" i="21"/>
  <c r="J366" i="21"/>
  <c r="I352" i="21"/>
  <c r="J309" i="21"/>
  <c r="J463" i="21"/>
  <c r="J486" i="21"/>
  <c r="J450" i="21"/>
  <c r="J458" i="21"/>
  <c r="J471" i="21"/>
  <c r="J440" i="21"/>
  <c r="J220" i="21"/>
  <c r="J153" i="21"/>
  <c r="J120" i="21"/>
  <c r="J178" i="21"/>
  <c r="J169" i="21"/>
  <c r="J165" i="21"/>
  <c r="J158" i="21"/>
  <c r="J107" i="21"/>
  <c r="J111" i="21"/>
  <c r="J145" i="21"/>
  <c r="J99" i="21"/>
  <c r="J94" i="21"/>
  <c r="F39" i="7"/>
  <c r="E16" i="6"/>
  <c r="E13" i="6"/>
  <c r="E12" i="6"/>
  <c r="E11" i="6"/>
  <c r="E10" i="6"/>
  <c r="E9" i="6"/>
  <c r="E8" i="6"/>
  <c r="E7" i="6"/>
  <c r="E6" i="6"/>
  <c r="E5" i="6"/>
  <c r="E4" i="6"/>
  <c r="E36" i="7"/>
  <c r="E33" i="7"/>
  <c r="E32" i="7"/>
  <c r="E31" i="7"/>
  <c r="E30" i="7"/>
  <c r="E27" i="7"/>
  <c r="E26" i="7"/>
  <c r="E23" i="7"/>
  <c r="E22" i="7"/>
  <c r="E14" i="7"/>
  <c r="E13" i="7"/>
  <c r="E12" i="7"/>
  <c r="E11" i="7"/>
  <c r="E8" i="7"/>
  <c r="E7" i="7"/>
  <c r="E6" i="7"/>
  <c r="J42" i="21"/>
  <c r="I42" i="21" s="1"/>
  <c r="J43" i="21"/>
  <c r="I43" i="21" s="1"/>
  <c r="J44" i="21"/>
  <c r="I44" i="21" s="1"/>
  <c r="J41" i="21"/>
  <c r="I41" i="21" s="1"/>
  <c r="J60" i="21"/>
  <c r="J57" i="21"/>
  <c r="J55" i="21"/>
  <c r="J56" i="21"/>
  <c r="J54" i="21"/>
  <c r="J51" i="21"/>
  <c r="J50" i="21"/>
  <c r="J37" i="21"/>
  <c r="J38" i="21"/>
  <c r="J36" i="21"/>
  <c r="J32" i="21"/>
  <c r="J31" i="21"/>
  <c r="J16" i="21"/>
  <c r="J17" i="21"/>
  <c r="J18" i="21"/>
  <c r="J19" i="21"/>
  <c r="J20" i="21"/>
  <c r="J21" i="21"/>
  <c r="J22" i="21"/>
  <c r="J23" i="21"/>
  <c r="J24" i="21"/>
  <c r="J15" i="21"/>
  <c r="J12" i="21"/>
  <c r="F560" i="21"/>
  <c r="B560" i="21"/>
  <c r="F559" i="21"/>
  <c r="B559" i="21"/>
  <c r="F558" i="21"/>
  <c r="B558" i="21"/>
  <c r="F557" i="21"/>
  <c r="B557" i="21"/>
  <c r="F556" i="21"/>
  <c r="B556" i="21"/>
  <c r="F555" i="21"/>
  <c r="B555" i="21"/>
  <c r="F554" i="21"/>
  <c r="B554" i="21"/>
  <c r="F553" i="21"/>
  <c r="B553" i="21"/>
  <c r="F552" i="21"/>
  <c r="B552" i="21"/>
  <c r="F549" i="21"/>
  <c r="B549" i="21"/>
  <c r="F548" i="21"/>
  <c r="B548" i="21"/>
  <c r="F544" i="21"/>
  <c r="B544" i="21"/>
  <c r="F543" i="21"/>
  <c r="B543" i="21"/>
  <c r="F542" i="21"/>
  <c r="B542" i="21"/>
  <c r="F541" i="21"/>
  <c r="B541" i="21"/>
  <c r="F540" i="21"/>
  <c r="B540" i="21"/>
  <c r="F537" i="21"/>
  <c r="B537" i="21"/>
  <c r="F536" i="21"/>
  <c r="B536" i="21"/>
  <c r="F535" i="21"/>
  <c r="B535" i="21"/>
  <c r="B532" i="21"/>
  <c r="B531" i="21"/>
  <c r="F524" i="21"/>
  <c r="B524" i="21"/>
  <c r="F523" i="21"/>
  <c r="B523" i="21"/>
  <c r="F522" i="21"/>
  <c r="B522" i="21"/>
  <c r="F521" i="21"/>
  <c r="B521" i="21"/>
  <c r="F520" i="21"/>
  <c r="B520" i="21"/>
  <c r="F519" i="21"/>
  <c r="B519" i="21"/>
  <c r="F518" i="21"/>
  <c r="B518" i="21"/>
  <c r="F517" i="21"/>
  <c r="B517" i="21"/>
  <c r="B514" i="21"/>
  <c r="B513" i="21"/>
  <c r="B512" i="21"/>
  <c r="B511" i="21"/>
  <c r="B510" i="21"/>
  <c r="B509" i="21"/>
  <c r="B508" i="21"/>
  <c r="B507" i="21"/>
  <c r="B506" i="21"/>
  <c r="B505" i="21"/>
  <c r="B504" i="21"/>
  <c r="B503" i="21"/>
  <c r="B502" i="21"/>
  <c r="B501" i="21"/>
  <c r="B485" i="21"/>
  <c r="B484" i="21"/>
  <c r="B483" i="21"/>
  <c r="B482" i="21"/>
  <c r="B481" i="21"/>
  <c r="B480" i="21"/>
  <c r="B479" i="21"/>
  <c r="B478" i="21"/>
  <c r="F477" i="21"/>
  <c r="B477" i="21"/>
  <c r="F474" i="21"/>
  <c r="B474" i="21"/>
  <c r="F473" i="21"/>
  <c r="B473" i="21"/>
  <c r="F469" i="21"/>
  <c r="B469" i="21"/>
  <c r="F468" i="21"/>
  <c r="B468" i="21"/>
  <c r="F467" i="21"/>
  <c r="B467" i="21"/>
  <c r="F466" i="21"/>
  <c r="B466" i="21"/>
  <c r="F465" i="21"/>
  <c r="B465" i="21"/>
  <c r="F462" i="21"/>
  <c r="B462" i="21"/>
  <c r="F461" i="21"/>
  <c r="B461" i="21"/>
  <c r="F460" i="21"/>
  <c r="B460" i="21"/>
  <c r="B457" i="21"/>
  <c r="B456" i="21"/>
  <c r="F449" i="21"/>
  <c r="B449" i="21"/>
  <c r="F448" i="21"/>
  <c r="B448" i="21"/>
  <c r="F447" i="21"/>
  <c r="B447" i="21"/>
  <c r="F446" i="21"/>
  <c r="B446" i="21"/>
  <c r="F445" i="21"/>
  <c r="B445" i="21"/>
  <c r="B444" i="21"/>
  <c r="F443" i="21"/>
  <c r="B443" i="21"/>
  <c r="F442" i="21"/>
  <c r="B442" i="21"/>
  <c r="B439" i="21"/>
  <c r="B438" i="21"/>
  <c r="B437" i="21"/>
  <c r="B436" i="21"/>
  <c r="B435" i="21"/>
  <c r="B434" i="21"/>
  <c r="B433" i="21"/>
  <c r="B432" i="21"/>
  <c r="B431" i="21"/>
  <c r="B430" i="21"/>
  <c r="B429" i="21"/>
  <c r="B428" i="21"/>
  <c r="B427" i="21"/>
  <c r="B426" i="21"/>
  <c r="F411" i="21"/>
  <c r="B411" i="21"/>
  <c r="F410" i="21"/>
  <c r="B410" i="21"/>
  <c r="F409" i="21"/>
  <c r="B409" i="21"/>
  <c r="F408" i="21"/>
  <c r="B408" i="21"/>
  <c r="F407" i="21"/>
  <c r="B407" i="21"/>
  <c r="F406" i="21"/>
  <c r="B406" i="21"/>
  <c r="F405" i="21"/>
  <c r="B405" i="21"/>
  <c r="F404" i="21"/>
  <c r="B404" i="21"/>
  <c r="F403" i="21"/>
  <c r="B403" i="21"/>
  <c r="F400" i="21"/>
  <c r="B400" i="21"/>
  <c r="F399" i="21"/>
  <c r="B399" i="21"/>
  <c r="I395" i="21"/>
  <c r="F395" i="21"/>
  <c r="B395" i="21"/>
  <c r="I394" i="21"/>
  <c r="F394" i="21"/>
  <c r="B394" i="21"/>
  <c r="I393" i="21"/>
  <c r="F393" i="21"/>
  <c r="B393" i="21"/>
  <c r="I392" i="21"/>
  <c r="F392" i="21"/>
  <c r="B392" i="21"/>
  <c r="I391" i="21"/>
  <c r="F391" i="21"/>
  <c r="B391" i="21"/>
  <c r="F388" i="21"/>
  <c r="B388" i="21"/>
  <c r="F387" i="21"/>
  <c r="B387" i="21"/>
  <c r="F386" i="21"/>
  <c r="B386" i="21"/>
  <c r="B383" i="21"/>
  <c r="B382" i="21"/>
  <c r="F375" i="21"/>
  <c r="B375" i="21"/>
  <c r="F374" i="21"/>
  <c r="B374" i="21"/>
  <c r="F373" i="21"/>
  <c r="B373" i="21"/>
  <c r="F372" i="21"/>
  <c r="B372" i="21"/>
  <c r="F371" i="21"/>
  <c r="B371" i="21"/>
  <c r="F370" i="21"/>
  <c r="B370" i="21"/>
  <c r="F369" i="21"/>
  <c r="B369" i="21"/>
  <c r="F368" i="21"/>
  <c r="B368" i="21"/>
  <c r="B365" i="21"/>
  <c r="B364" i="21"/>
  <c r="B363" i="21"/>
  <c r="B362" i="21"/>
  <c r="B361" i="21"/>
  <c r="B360" i="21"/>
  <c r="B359" i="21"/>
  <c r="B358" i="21"/>
  <c r="B357" i="21"/>
  <c r="B356" i="21"/>
  <c r="B355" i="21"/>
  <c r="B354" i="21"/>
  <c r="B353" i="21"/>
  <c r="B352" i="21"/>
  <c r="F336" i="21"/>
  <c r="B336" i="21"/>
  <c r="F335" i="21"/>
  <c r="B335" i="21"/>
  <c r="F332" i="21"/>
  <c r="B332" i="21"/>
  <c r="F331" i="21"/>
  <c r="B331" i="21"/>
  <c r="F327" i="21"/>
  <c r="B327" i="21"/>
  <c r="F326" i="21"/>
  <c r="B326" i="21"/>
  <c r="F325" i="21"/>
  <c r="B325" i="21"/>
  <c r="F324" i="21"/>
  <c r="B324" i="21"/>
  <c r="F323" i="21"/>
  <c r="B323" i="21"/>
  <c r="F320" i="21"/>
  <c r="B320" i="21"/>
  <c r="F319" i="21"/>
  <c r="B319" i="21"/>
  <c r="F318" i="21"/>
  <c r="B318" i="21"/>
  <c r="B315" i="21"/>
  <c r="B314" i="21"/>
  <c r="G308" i="21"/>
  <c r="I308" i="21" s="1"/>
  <c r="F308" i="21"/>
  <c r="B308" i="21"/>
  <c r="B303" i="21"/>
  <c r="G288" i="21"/>
  <c r="F288" i="21"/>
  <c r="B288" i="21"/>
  <c r="G287" i="21"/>
  <c r="F287" i="21"/>
  <c r="B287" i="21"/>
  <c r="F284" i="21"/>
  <c r="B284" i="21"/>
  <c r="F283" i="21"/>
  <c r="B283" i="21"/>
  <c r="F279" i="21"/>
  <c r="B279" i="21"/>
  <c r="F278" i="21"/>
  <c r="B278" i="21"/>
  <c r="F277" i="21"/>
  <c r="B277" i="21"/>
  <c r="F276" i="21"/>
  <c r="B276" i="21"/>
  <c r="F275" i="21"/>
  <c r="B275" i="21"/>
  <c r="F272" i="21"/>
  <c r="B272" i="21"/>
  <c r="F271" i="21"/>
  <c r="B271" i="21"/>
  <c r="F270" i="21"/>
  <c r="B270" i="21"/>
  <c r="B267" i="21"/>
  <c r="B266" i="21"/>
  <c r="G259" i="21"/>
  <c r="F259" i="21"/>
  <c r="B259" i="21"/>
  <c r="G258" i="21"/>
  <c r="F258" i="21"/>
  <c r="B258" i="21"/>
  <c r="G257" i="21"/>
  <c r="I257" i="21" s="1"/>
  <c r="F257" i="21"/>
  <c r="B257" i="21"/>
  <c r="G254" i="21"/>
  <c r="I254" i="21" s="1"/>
  <c r="B254" i="21"/>
  <c r="G253" i="21"/>
  <c r="I253" i="21" s="1"/>
  <c r="B253" i="21"/>
  <c r="B252" i="21"/>
  <c r="B251" i="21"/>
  <c r="G235" i="21"/>
  <c r="F235" i="21"/>
  <c r="B235" i="21"/>
  <c r="G234" i="21"/>
  <c r="F234" i="21"/>
  <c r="B234" i="21"/>
  <c r="F231" i="21"/>
  <c r="B231" i="21"/>
  <c r="F230" i="21"/>
  <c r="B230" i="21"/>
  <c r="G226" i="21"/>
  <c r="F226" i="21"/>
  <c r="B226" i="21"/>
  <c r="G225" i="21"/>
  <c r="F225" i="21"/>
  <c r="B225" i="21"/>
  <c r="G224" i="21"/>
  <c r="F224" i="21"/>
  <c r="B224" i="21"/>
  <c r="G223" i="21"/>
  <c r="F223" i="21"/>
  <c r="B223" i="21"/>
  <c r="G222" i="21"/>
  <c r="F222" i="21"/>
  <c r="B222" i="21"/>
  <c r="F219" i="21"/>
  <c r="B219" i="21"/>
  <c r="F218" i="21"/>
  <c r="B218" i="21"/>
  <c r="F217" i="21"/>
  <c r="B217" i="21"/>
  <c r="B214" i="21"/>
  <c r="B213" i="21"/>
  <c r="F209" i="21"/>
  <c r="B209" i="21"/>
  <c r="G205" i="21"/>
  <c r="F205" i="21"/>
  <c r="B205" i="21"/>
  <c r="G204" i="21"/>
  <c r="I204" i="21" s="1"/>
  <c r="F204" i="21"/>
  <c r="B204" i="21"/>
  <c r="G203" i="21"/>
  <c r="I203" i="21" s="1"/>
  <c r="F203" i="21"/>
  <c r="B203" i="21"/>
  <c r="G202" i="21"/>
  <c r="I202" i="21" s="1"/>
  <c r="F202" i="21"/>
  <c r="B202" i="21"/>
  <c r="B199" i="21"/>
  <c r="B198" i="21"/>
  <c r="B197" i="21"/>
  <c r="B196" i="21"/>
  <c r="B195" i="21"/>
  <c r="B194" i="21"/>
  <c r="B193" i="21"/>
  <c r="F175" i="21"/>
  <c r="F174" i="21"/>
  <c r="B174" i="21"/>
  <c r="F173" i="21"/>
  <c r="B173" i="21"/>
  <c r="I172" i="21"/>
  <c r="F172" i="21"/>
  <c r="B172" i="21"/>
  <c r="F171" i="21"/>
  <c r="B171" i="21"/>
  <c r="F168" i="21"/>
  <c r="B168" i="21"/>
  <c r="F167" i="21"/>
  <c r="B167" i="21"/>
  <c r="B163" i="21"/>
  <c r="F162" i="21"/>
  <c r="B162" i="21"/>
  <c r="F161" i="21"/>
  <c r="B161" i="21"/>
  <c r="F160" i="21"/>
  <c r="B160" i="21"/>
  <c r="F157" i="21"/>
  <c r="B157" i="21"/>
  <c r="F156" i="21"/>
  <c r="B156" i="21"/>
  <c r="F155" i="21"/>
  <c r="B155" i="21"/>
  <c r="G152" i="21"/>
  <c r="I152" i="21" s="1"/>
  <c r="B152" i="21"/>
  <c r="G151" i="21"/>
  <c r="I151" i="21" s="1"/>
  <c r="B151" i="21"/>
  <c r="G144" i="21"/>
  <c r="I144" i="21" s="1"/>
  <c r="F144" i="21"/>
  <c r="B144" i="21"/>
  <c r="G143" i="21"/>
  <c r="I143" i="21" s="1"/>
  <c r="F143" i="21"/>
  <c r="B143" i="21"/>
  <c r="G142" i="21"/>
  <c r="I142" i="21" s="1"/>
  <c r="F142" i="21"/>
  <c r="B142" i="21"/>
  <c r="G141" i="21"/>
  <c r="I141" i="21" s="1"/>
  <c r="F141" i="21"/>
  <c r="B141" i="21"/>
  <c r="G140" i="21"/>
  <c r="I140" i="21" s="1"/>
  <c r="F140" i="21"/>
  <c r="B140" i="21"/>
  <c r="G139" i="21"/>
  <c r="I139" i="21" s="1"/>
  <c r="F139" i="21"/>
  <c r="B139" i="21"/>
  <c r="G138" i="21"/>
  <c r="I138" i="21" s="1"/>
  <c r="F138" i="21"/>
  <c r="B138" i="21"/>
  <c r="G137" i="21"/>
  <c r="I137" i="21" s="1"/>
  <c r="F137" i="21"/>
  <c r="B137" i="21"/>
  <c r="G134" i="21"/>
  <c r="I134" i="21" s="1"/>
  <c r="B134" i="21"/>
  <c r="G119" i="21"/>
  <c r="I119" i="21" s="1"/>
  <c r="F119" i="21"/>
  <c r="B119" i="21"/>
  <c r="F118" i="21"/>
  <c r="G117" i="21"/>
  <c r="I117" i="21" s="1"/>
  <c r="F117" i="21"/>
  <c r="B117" i="21"/>
  <c r="G116" i="21"/>
  <c r="I116" i="21" s="1"/>
  <c r="F116" i="21"/>
  <c r="B116" i="21"/>
  <c r="G115" i="21"/>
  <c r="I115" i="21" s="1"/>
  <c r="F115" i="21"/>
  <c r="B115" i="21"/>
  <c r="G114" i="21"/>
  <c r="I114" i="21" s="1"/>
  <c r="F114" i="21"/>
  <c r="B114" i="21"/>
  <c r="G113" i="21"/>
  <c r="I113" i="21" s="1"/>
  <c r="F113" i="21"/>
  <c r="B113" i="21"/>
  <c r="F110" i="21"/>
  <c r="B110" i="21"/>
  <c r="F109" i="21"/>
  <c r="B109" i="21"/>
  <c r="G105" i="21"/>
  <c r="I105" i="21" s="1"/>
  <c r="F105" i="21"/>
  <c r="B105" i="21"/>
  <c r="G104" i="21"/>
  <c r="I104" i="21" s="1"/>
  <c r="F104" i="21"/>
  <c r="B104" i="21"/>
  <c r="G103" i="21"/>
  <c r="I103" i="21" s="1"/>
  <c r="F103" i="21"/>
  <c r="B103" i="21"/>
  <c r="G102" i="21"/>
  <c r="I102" i="21" s="1"/>
  <c r="F102" i="21"/>
  <c r="B102" i="21"/>
  <c r="G101" i="21"/>
  <c r="I101" i="21" s="1"/>
  <c r="F101" i="21"/>
  <c r="B101" i="21"/>
  <c r="F98" i="21"/>
  <c r="B98" i="21"/>
  <c r="F97" i="21"/>
  <c r="B97" i="21"/>
  <c r="G96" i="21"/>
  <c r="I96" i="21" s="1"/>
  <c r="F96" i="21"/>
  <c r="B96" i="21"/>
  <c r="G92" i="21"/>
  <c r="I92" i="21" s="1"/>
  <c r="B92" i="21"/>
  <c r="G91" i="21"/>
  <c r="I91" i="21" s="1"/>
  <c r="B91" i="21"/>
  <c r="G84" i="21"/>
  <c r="I84" i="21" s="1"/>
  <c r="F84" i="21"/>
  <c r="B84" i="21"/>
  <c r="G83" i="21"/>
  <c r="I83" i="21" s="1"/>
  <c r="F83" i="21"/>
  <c r="B83" i="21"/>
  <c r="G82" i="21"/>
  <c r="I82" i="21" s="1"/>
  <c r="F82" i="21"/>
  <c r="B82" i="21"/>
  <c r="G81" i="21"/>
  <c r="I81" i="21" s="1"/>
  <c r="F81" i="21"/>
  <c r="B81" i="21"/>
  <c r="G80" i="21"/>
  <c r="I80" i="21" s="1"/>
  <c r="F80" i="21"/>
  <c r="B80" i="21"/>
  <c r="G79" i="21"/>
  <c r="I79" i="21" s="1"/>
  <c r="F79" i="21"/>
  <c r="B79" i="21"/>
  <c r="G78" i="21"/>
  <c r="I78" i="21" s="1"/>
  <c r="F78" i="21"/>
  <c r="B78" i="21"/>
  <c r="G77" i="21"/>
  <c r="I77" i="21" s="1"/>
  <c r="F77" i="21"/>
  <c r="B77" i="21"/>
  <c r="G74" i="21"/>
  <c r="I74" i="21" s="1"/>
  <c r="B74" i="21"/>
  <c r="G60" i="21"/>
  <c r="I60" i="21" s="1"/>
  <c r="F60" i="21"/>
  <c r="B60" i="21"/>
  <c r="G59" i="21"/>
  <c r="I59" i="21" s="1"/>
  <c r="F59" i="21"/>
  <c r="B59" i="21"/>
  <c r="G58" i="21"/>
  <c r="I58" i="21" s="1"/>
  <c r="F58" i="21"/>
  <c r="B58" i="21"/>
  <c r="G57" i="21"/>
  <c r="I57" i="21" s="1"/>
  <c r="F57" i="21"/>
  <c r="B57" i="21"/>
  <c r="G56" i="21"/>
  <c r="F56" i="21"/>
  <c r="B56" i="21"/>
  <c r="G55" i="21"/>
  <c r="I55" i="21" s="1"/>
  <c r="F55" i="21"/>
  <c r="B55" i="21"/>
  <c r="G54" i="21"/>
  <c r="F54" i="21"/>
  <c r="B54" i="21"/>
  <c r="G51" i="21"/>
  <c r="F51" i="21"/>
  <c r="B51" i="21"/>
  <c r="G50" i="21"/>
  <c r="F50" i="21"/>
  <c r="B50" i="21"/>
  <c r="F44" i="21"/>
  <c r="B44" i="21"/>
  <c r="F43" i="21"/>
  <c r="B43" i="21"/>
  <c r="F42" i="21"/>
  <c r="B42" i="21"/>
  <c r="F41" i="21"/>
  <c r="B41" i="21"/>
  <c r="G38" i="21"/>
  <c r="F38" i="21"/>
  <c r="B38" i="21"/>
  <c r="G37" i="21"/>
  <c r="F37" i="21"/>
  <c r="B37" i="21"/>
  <c r="G36" i="21"/>
  <c r="F36" i="21"/>
  <c r="B36" i="21"/>
  <c r="G32" i="21"/>
  <c r="B32" i="21"/>
  <c r="G31" i="21"/>
  <c r="B31" i="21"/>
  <c r="G24" i="21"/>
  <c r="F24" i="21"/>
  <c r="B24" i="21"/>
  <c r="G23" i="21"/>
  <c r="F23" i="21"/>
  <c r="B23" i="21"/>
  <c r="G22" i="21"/>
  <c r="F22" i="21"/>
  <c r="B22" i="21"/>
  <c r="G21" i="21"/>
  <c r="F21" i="21"/>
  <c r="B21" i="21"/>
  <c r="G20" i="21"/>
  <c r="F20" i="21"/>
  <c r="B20" i="21"/>
  <c r="G19" i="21"/>
  <c r="F19" i="21"/>
  <c r="B19" i="21"/>
  <c r="G18" i="21"/>
  <c r="F18" i="21"/>
  <c r="B18" i="21"/>
  <c r="G17" i="21"/>
  <c r="F17" i="21"/>
  <c r="B17" i="21"/>
  <c r="G16" i="21"/>
  <c r="F16" i="21"/>
  <c r="B16" i="21"/>
  <c r="G15" i="21"/>
  <c r="F15" i="21"/>
  <c r="B15" i="21"/>
  <c r="G12" i="21"/>
  <c r="G17" i="1" s="1"/>
  <c r="B12" i="21"/>
  <c r="F470" i="1"/>
  <c r="B402" i="1"/>
  <c r="F402" i="1"/>
  <c r="F256" i="1"/>
  <c r="G234" i="1"/>
  <c r="G233" i="1"/>
  <c r="G213" i="21"/>
  <c r="I213" i="21" s="1"/>
  <c r="C14" i="19"/>
  <c r="G209" i="21" s="1"/>
  <c r="I209" i="21" s="1"/>
  <c r="G173" i="1"/>
  <c r="G174" i="1"/>
  <c r="G172" i="1"/>
  <c r="F173" i="1"/>
  <c r="F174" i="1"/>
  <c r="F175" i="1"/>
  <c r="F176" i="1"/>
  <c r="F172" i="1"/>
  <c r="G331" i="1"/>
  <c r="F332" i="1"/>
  <c r="F331" i="1"/>
  <c r="B332" i="1"/>
  <c r="B331" i="1"/>
  <c r="F328" i="1"/>
  <c r="F327" i="1"/>
  <c r="B328" i="1"/>
  <c r="B327" i="1"/>
  <c r="F321" i="1"/>
  <c r="F322" i="1"/>
  <c r="F323" i="1"/>
  <c r="F324" i="1"/>
  <c r="F320" i="1"/>
  <c r="B321" i="1"/>
  <c r="B322" i="1"/>
  <c r="B323" i="1"/>
  <c r="B324" i="1"/>
  <c r="B320" i="1"/>
  <c r="F316" i="1"/>
  <c r="F317" i="1"/>
  <c r="F315" i="1"/>
  <c r="B316" i="1"/>
  <c r="B317" i="1"/>
  <c r="B315" i="1"/>
  <c r="B312" i="1"/>
  <c r="B311" i="1"/>
  <c r="G305" i="1"/>
  <c r="F305" i="1"/>
  <c r="B305" i="1"/>
  <c r="B300" i="1"/>
  <c r="G284" i="1"/>
  <c r="G285" i="1"/>
  <c r="F284" i="1"/>
  <c r="F285" i="1"/>
  <c r="B284" i="1"/>
  <c r="B285" i="1"/>
  <c r="F281" i="1"/>
  <c r="F280" i="1"/>
  <c r="B281" i="1"/>
  <c r="B280" i="1"/>
  <c r="F273" i="1"/>
  <c r="F274" i="1"/>
  <c r="F275" i="1"/>
  <c r="F276" i="1"/>
  <c r="F272" i="1"/>
  <c r="B273" i="1"/>
  <c r="B274" i="1"/>
  <c r="B275" i="1"/>
  <c r="B276" i="1"/>
  <c r="B272" i="1"/>
  <c r="F268" i="1"/>
  <c r="F269" i="1"/>
  <c r="F267" i="1"/>
  <c r="B268" i="1"/>
  <c r="B269" i="1"/>
  <c r="B267" i="1"/>
  <c r="B264" i="1"/>
  <c r="B263" i="1"/>
  <c r="G255" i="1"/>
  <c r="G256" i="1"/>
  <c r="G254" i="1"/>
  <c r="F255" i="1"/>
  <c r="F254" i="1"/>
  <c r="B255" i="1"/>
  <c r="B256" i="1"/>
  <c r="B254" i="1"/>
  <c r="G252" i="1"/>
  <c r="G251" i="1"/>
  <c r="B252" i="1"/>
  <c r="B251" i="1"/>
  <c r="B250" i="1"/>
  <c r="B249" i="1"/>
  <c r="F233" i="1"/>
  <c r="F234" i="1"/>
  <c r="B233" i="1"/>
  <c r="B234" i="1"/>
  <c r="G222" i="1"/>
  <c r="G223" i="1"/>
  <c r="G224" i="1"/>
  <c r="G225" i="1"/>
  <c r="G221" i="1"/>
  <c r="F222" i="1"/>
  <c r="F223" i="1"/>
  <c r="F224" i="1"/>
  <c r="F225" i="1"/>
  <c r="F221" i="1"/>
  <c r="B222" i="1"/>
  <c r="B223" i="1"/>
  <c r="B224" i="1"/>
  <c r="B225" i="1"/>
  <c r="B221" i="1"/>
  <c r="G212" i="1"/>
  <c r="B213" i="1"/>
  <c r="B212" i="1"/>
  <c r="F230" i="1"/>
  <c r="F229" i="1"/>
  <c r="B230" i="1"/>
  <c r="B229" i="1"/>
  <c r="F217" i="1"/>
  <c r="F218" i="1"/>
  <c r="F216" i="1"/>
  <c r="B217" i="1"/>
  <c r="B218" i="1"/>
  <c r="B216" i="1"/>
  <c r="G208" i="1"/>
  <c r="F208" i="1"/>
  <c r="B208" i="1"/>
  <c r="G202" i="1"/>
  <c r="G203" i="1"/>
  <c r="G204" i="1"/>
  <c r="G201" i="1"/>
  <c r="F202" i="1"/>
  <c r="F203" i="1"/>
  <c r="F204" i="1"/>
  <c r="F201" i="1"/>
  <c r="I38" i="21" l="1"/>
  <c r="I24" i="21"/>
  <c r="I16" i="21"/>
  <c r="I23" i="21"/>
  <c r="I19" i="21"/>
  <c r="I31" i="21"/>
  <c r="I37" i="21"/>
  <c r="I56" i="21"/>
  <c r="J413" i="21"/>
  <c r="K413" i="21" s="1"/>
  <c r="I54" i="21"/>
  <c r="J13" i="21"/>
  <c r="I12" i="21"/>
  <c r="I22" i="21"/>
  <c r="I18" i="21"/>
  <c r="I32" i="21"/>
  <c r="I50" i="21"/>
  <c r="I20" i="21"/>
  <c r="I15" i="21"/>
  <c r="I21" i="21"/>
  <c r="I17" i="21"/>
  <c r="I36" i="21"/>
  <c r="I51" i="21"/>
  <c r="J487" i="21"/>
  <c r="K487" i="21" s="1"/>
  <c r="J179" i="21"/>
  <c r="K179" i="21" s="1"/>
  <c r="J52" i="21"/>
  <c r="J61" i="21"/>
  <c r="J34" i="21"/>
  <c r="J47" i="21"/>
  <c r="J25" i="21"/>
  <c r="J39" i="21"/>
  <c r="J62" i="21"/>
  <c r="K62" i="21" s="1"/>
  <c r="B203" i="1"/>
  <c r="B204" i="1"/>
  <c r="B201" i="1"/>
  <c r="B202" i="1"/>
  <c r="G196" i="1"/>
  <c r="G192" i="1"/>
  <c r="J193" i="21"/>
  <c r="U27" i="20"/>
  <c r="V12" i="18"/>
  <c r="V11" i="18"/>
  <c r="F5" i="18"/>
  <c r="J194" i="21" s="1"/>
  <c r="I194" i="21" s="1"/>
  <c r="F6" i="18"/>
  <c r="J195" i="21" s="1"/>
  <c r="F10" i="18"/>
  <c r="J199" i="21" s="1"/>
  <c r="S12" i="18"/>
  <c r="S11" i="18"/>
  <c r="P5" i="18"/>
  <c r="J303" i="21" s="1"/>
  <c r="J306" i="21" s="1"/>
  <c r="F9" i="18"/>
  <c r="J198" i="21" s="1"/>
  <c r="F8" i="18"/>
  <c r="J197" i="21" s="1"/>
  <c r="I197" i="21" s="1"/>
  <c r="F7" i="18"/>
  <c r="J196" i="21" s="1"/>
  <c r="I6" i="18"/>
  <c r="I4" i="18"/>
  <c r="D10" i="18"/>
  <c r="D9" i="18"/>
  <c r="D8" i="18"/>
  <c r="D7" i="18"/>
  <c r="D6" i="18"/>
  <c r="D5" i="18"/>
  <c r="I193" i="21" l="1"/>
  <c r="J200" i="21"/>
  <c r="G303" i="21"/>
  <c r="I303" i="21" s="1"/>
  <c r="G300" i="1"/>
  <c r="G252" i="21"/>
  <c r="G250" i="1"/>
  <c r="G249" i="1"/>
  <c r="G251" i="21"/>
  <c r="I198" i="21"/>
  <c r="G195" i="1"/>
  <c r="I199" i="21"/>
  <c r="G198" i="1"/>
  <c r="G194" i="1"/>
  <c r="I195" i="21"/>
  <c r="G197" i="1"/>
  <c r="G193" i="1"/>
  <c r="I196" i="21"/>
  <c r="B193" i="1"/>
  <c r="B194" i="1"/>
  <c r="B195" i="1"/>
  <c r="B196" i="1"/>
  <c r="B197" i="1"/>
  <c r="B198" i="1"/>
  <c r="B192" i="1"/>
  <c r="F5" i="19"/>
  <c r="J231" i="21"/>
  <c r="J232" i="21" l="1"/>
  <c r="F30" i="20"/>
  <c r="U26" i="20"/>
  <c r="P26" i="20"/>
  <c r="K26" i="20"/>
  <c r="F26" i="20"/>
  <c r="U22" i="20"/>
  <c r="P22" i="20"/>
  <c r="K22" i="20"/>
  <c r="F22" i="20"/>
  <c r="U10" i="20"/>
  <c r="P10" i="20"/>
  <c r="K10" i="20"/>
  <c r="F10" i="20"/>
  <c r="U5" i="20"/>
  <c r="P5" i="20"/>
  <c r="K5" i="20"/>
  <c r="F5" i="20"/>
  <c r="T34" i="20"/>
  <c r="T33" i="20"/>
  <c r="T28" i="20"/>
  <c r="T27" i="20"/>
  <c r="T24" i="20"/>
  <c r="T23" i="20"/>
  <c r="T16" i="20"/>
  <c r="T15" i="20"/>
  <c r="T14" i="20"/>
  <c r="T13" i="20"/>
  <c r="T12" i="20"/>
  <c r="T11" i="20"/>
  <c r="T8" i="20"/>
  <c r="T7" i="20"/>
  <c r="T6" i="20"/>
  <c r="J336" i="21"/>
  <c r="I336" i="21" s="1"/>
  <c r="J335" i="21"/>
  <c r="J315" i="21"/>
  <c r="J314" i="21"/>
  <c r="J332" i="21"/>
  <c r="J331" i="21"/>
  <c r="J327" i="21"/>
  <c r="I327" i="21" s="1"/>
  <c r="J326" i="21"/>
  <c r="I326" i="21" s="1"/>
  <c r="J325" i="21"/>
  <c r="I325" i="21" s="1"/>
  <c r="J324" i="21"/>
  <c r="I324" i="21" s="1"/>
  <c r="J323" i="21"/>
  <c r="O8" i="20"/>
  <c r="J320" i="21" s="1"/>
  <c r="O7" i="20"/>
  <c r="J319" i="21" s="1"/>
  <c r="O6" i="20"/>
  <c r="J318" i="21" s="1"/>
  <c r="J288" i="21"/>
  <c r="I288" i="21" s="1"/>
  <c r="J287" i="21"/>
  <c r="J267" i="21"/>
  <c r="J266" i="21"/>
  <c r="J280" i="21"/>
  <c r="I280" i="21" s="1"/>
  <c r="J279" i="21"/>
  <c r="I279" i="21" s="1"/>
  <c r="J278" i="21"/>
  <c r="I278" i="21" s="1"/>
  <c r="J277" i="21"/>
  <c r="I277" i="21" s="1"/>
  <c r="J276" i="21"/>
  <c r="I276" i="21" s="1"/>
  <c r="J275" i="21"/>
  <c r="J8" i="20"/>
  <c r="J272" i="21" s="1"/>
  <c r="J271" i="21"/>
  <c r="J270" i="21"/>
  <c r="J236" i="21"/>
  <c r="I236" i="21" s="1"/>
  <c r="J235" i="21"/>
  <c r="I235" i="21" s="1"/>
  <c r="J234" i="21"/>
  <c r="J227" i="21"/>
  <c r="I227" i="21" s="1"/>
  <c r="J226" i="21"/>
  <c r="I226" i="21" s="1"/>
  <c r="J225" i="21"/>
  <c r="I225" i="21" s="1"/>
  <c r="J224" i="21"/>
  <c r="I224" i="21" s="1"/>
  <c r="J223" i="21"/>
  <c r="I223" i="21" s="1"/>
  <c r="J222" i="21"/>
  <c r="Z26" i="20" l="1"/>
  <c r="I234" i="21"/>
  <c r="J237" i="21"/>
  <c r="J268" i="21"/>
  <c r="J333" i="21"/>
  <c r="J228" i="21"/>
  <c r="I222" i="21"/>
  <c r="I287" i="21"/>
  <c r="J289" i="21"/>
  <c r="J316" i="21"/>
  <c r="J321" i="21"/>
  <c r="I335" i="21"/>
  <c r="J337" i="21"/>
  <c r="I275" i="21"/>
  <c r="J281" i="21"/>
  <c r="J273" i="21"/>
  <c r="I323" i="21"/>
  <c r="W38" i="20"/>
  <c r="W37" i="20"/>
  <c r="W36" i="20"/>
  <c r="W35" i="20"/>
  <c r="W34" i="20"/>
  <c r="W33" i="20"/>
  <c r="W32" i="20"/>
  <c r="W31" i="20"/>
  <c r="U30" i="20"/>
  <c r="U39" i="20" s="1"/>
  <c r="P30" i="20"/>
  <c r="P39" i="20" s="1"/>
  <c r="K30" i="20"/>
  <c r="K39" i="20" s="1"/>
  <c r="W28" i="20"/>
  <c r="R28" i="20"/>
  <c r="M28" i="20"/>
  <c r="H28" i="20"/>
  <c r="W27" i="20"/>
  <c r="R27" i="20"/>
  <c r="M27" i="20"/>
  <c r="H27" i="20"/>
  <c r="W26" i="20"/>
  <c r="W25" i="20"/>
  <c r="W24" i="20"/>
  <c r="R24" i="20"/>
  <c r="M24" i="20"/>
  <c r="W23" i="20"/>
  <c r="R23" i="20"/>
  <c r="M23" i="20"/>
  <c r="J283" i="21"/>
  <c r="H23" i="20"/>
  <c r="W22" i="20"/>
  <c r="J328" i="21"/>
  <c r="I328" i="21" s="1"/>
  <c r="W10" i="20"/>
  <c r="W8" i="20"/>
  <c r="R8" i="20"/>
  <c r="M8" i="20"/>
  <c r="H8" i="20"/>
  <c r="C8" i="20"/>
  <c r="W7" i="20"/>
  <c r="R7" i="20"/>
  <c r="M7" i="20"/>
  <c r="C7" i="20"/>
  <c r="W6" i="20"/>
  <c r="R6" i="20"/>
  <c r="M6" i="20"/>
  <c r="A20" i="19"/>
  <c r="U17" i="19"/>
  <c r="P17" i="19"/>
  <c r="K17" i="19"/>
  <c r="F14" i="19"/>
  <c r="F17" i="19" s="1"/>
  <c r="P12" i="19"/>
  <c r="P18" i="19" s="1"/>
  <c r="J11" i="19"/>
  <c r="K11" i="19" s="1"/>
  <c r="I11" i="19" s="1"/>
  <c r="J259" i="21" s="1"/>
  <c r="I259" i="21" s="1"/>
  <c r="T10" i="19"/>
  <c r="U10" i="19" s="1"/>
  <c r="J10" i="19"/>
  <c r="K10" i="19" s="1"/>
  <c r="I10" i="19" s="1"/>
  <c r="J258" i="21" s="1"/>
  <c r="T9" i="19"/>
  <c r="U9" i="19" s="1"/>
  <c r="U12" i="19" s="1"/>
  <c r="U18" i="19" s="1"/>
  <c r="J9" i="19"/>
  <c r="K9" i="19" s="1"/>
  <c r="E8" i="19"/>
  <c r="F8" i="19" s="1"/>
  <c r="F7" i="19"/>
  <c r="E6" i="19"/>
  <c r="E5" i="19"/>
  <c r="G13" i="18"/>
  <c r="Q15" i="18" s="1"/>
  <c r="Z27" i="20" s="1"/>
  <c r="K6" i="18"/>
  <c r="J252" i="21" s="1"/>
  <c r="I252" i="21" s="1"/>
  <c r="K4" i="18"/>
  <c r="J251" i="21" s="1"/>
  <c r="J260" i="21" l="1"/>
  <c r="I258" i="21"/>
  <c r="P20" i="19"/>
  <c r="D8" i="19"/>
  <c r="J205" i="21" s="1"/>
  <c r="J255" i="21"/>
  <c r="I251" i="21"/>
  <c r="G319" i="21"/>
  <c r="I319" i="21" s="1"/>
  <c r="G316" i="1"/>
  <c r="G280" i="1"/>
  <c r="G283" i="21"/>
  <c r="I283" i="21" s="1"/>
  <c r="G263" i="1"/>
  <c r="G266" i="21"/>
  <c r="I266" i="21" s="1"/>
  <c r="G267" i="21"/>
  <c r="I267" i="21" s="1"/>
  <c r="G264" i="1"/>
  <c r="W30" i="20"/>
  <c r="J329" i="21"/>
  <c r="J338" i="21" s="1"/>
  <c r="K338" i="21" s="1"/>
  <c r="G272" i="21"/>
  <c r="I272" i="21" s="1"/>
  <c r="G269" i="1"/>
  <c r="G214" i="21"/>
  <c r="I214" i="21" s="1"/>
  <c r="G213" i="1"/>
  <c r="G217" i="21"/>
  <c r="I217" i="21" s="1"/>
  <c r="G216" i="1"/>
  <c r="G320" i="21"/>
  <c r="I320" i="21" s="1"/>
  <c r="G317" i="1"/>
  <c r="G218" i="21"/>
  <c r="I218" i="21" s="1"/>
  <c r="G217" i="1"/>
  <c r="G327" i="1"/>
  <c r="G331" i="21"/>
  <c r="I331" i="21" s="1"/>
  <c r="H24" i="20"/>
  <c r="J284" i="21"/>
  <c r="G315" i="21"/>
  <c r="I315" i="21" s="1"/>
  <c r="G312" i="1"/>
  <c r="G311" i="1"/>
  <c r="G314" i="21"/>
  <c r="I314" i="21" s="1"/>
  <c r="G267" i="1"/>
  <c r="G270" i="21"/>
  <c r="I270" i="21" s="1"/>
  <c r="G315" i="1"/>
  <c r="G318" i="21"/>
  <c r="I318" i="21" s="1"/>
  <c r="G271" i="21"/>
  <c r="I271" i="21" s="1"/>
  <c r="G268" i="1"/>
  <c r="G218" i="1"/>
  <c r="G219" i="21"/>
  <c r="I219" i="21" s="1"/>
  <c r="G332" i="21"/>
  <c r="I332" i="21" s="1"/>
  <c r="G328" i="1"/>
  <c r="G231" i="21"/>
  <c r="I231" i="21" s="1"/>
  <c r="G230" i="1"/>
  <c r="G229" i="1"/>
  <c r="G230" i="21"/>
  <c r="I230" i="21" s="1"/>
  <c r="P40" i="20"/>
  <c r="P41" i="20" s="1"/>
  <c r="F40" i="20"/>
  <c r="F41" i="20" s="1"/>
  <c r="E41" i="20" s="1"/>
  <c r="W5" i="20"/>
  <c r="W39" i="20"/>
  <c r="K12" i="19"/>
  <c r="K18" i="19" s="1"/>
  <c r="V13" i="18"/>
  <c r="U40" i="20" s="1"/>
  <c r="U41" i="20" s="1"/>
  <c r="T41" i="20" s="1"/>
  <c r="K40" i="20" l="1"/>
  <c r="K41" i="20" s="1"/>
  <c r="J207" i="21"/>
  <c r="J238" i="21" s="1"/>
  <c r="K238" i="21" s="1"/>
  <c r="I205" i="21"/>
  <c r="G284" i="21"/>
  <c r="I284" i="21" s="1"/>
  <c r="G281" i="1"/>
  <c r="J285" i="21"/>
  <c r="J290" i="21" s="1"/>
  <c r="K290" i="21" s="1"/>
  <c r="U20" i="19"/>
  <c r="V15" i="18"/>
  <c r="W40" i="20"/>
  <c r="K339" i="21" l="1"/>
  <c r="J41" i="20"/>
  <c r="P43" i="20"/>
  <c r="AA44" i="20" s="1"/>
  <c r="U43" i="20"/>
  <c r="U47" i="20" s="1"/>
  <c r="O41" i="20"/>
  <c r="B173" i="1"/>
  <c r="B174" i="1"/>
  <c r="B172" i="1"/>
  <c r="F169" i="1"/>
  <c r="F168" i="1"/>
  <c r="B169" i="1"/>
  <c r="B168" i="1"/>
  <c r="F162" i="1"/>
  <c r="F163" i="1"/>
  <c r="F164" i="1"/>
  <c r="F161" i="1"/>
  <c r="B162" i="1"/>
  <c r="B163" i="1"/>
  <c r="B164" i="1"/>
  <c r="B161" i="1"/>
  <c r="F157" i="1"/>
  <c r="F158" i="1"/>
  <c r="F156" i="1"/>
  <c r="B157" i="1"/>
  <c r="B158" i="1"/>
  <c r="B156" i="1"/>
  <c r="G153" i="1"/>
  <c r="G152" i="1"/>
  <c r="B153" i="1"/>
  <c r="B152" i="1"/>
  <c r="G140" i="1"/>
  <c r="G141" i="1"/>
  <c r="G142" i="1"/>
  <c r="G143" i="1"/>
  <c r="G144" i="1"/>
  <c r="G145" i="1"/>
  <c r="G146" i="1"/>
  <c r="G139" i="1"/>
  <c r="F140" i="1"/>
  <c r="F141" i="1"/>
  <c r="F142" i="1"/>
  <c r="F143" i="1"/>
  <c r="F144" i="1"/>
  <c r="F145" i="1"/>
  <c r="F146" i="1"/>
  <c r="F139" i="1"/>
  <c r="B144" i="1"/>
  <c r="B145" i="1"/>
  <c r="B146" i="1"/>
  <c r="B140" i="1"/>
  <c r="B141" i="1"/>
  <c r="B142" i="1"/>
  <c r="B143" i="1"/>
  <c r="B139" i="1"/>
  <c r="G136" i="1"/>
  <c r="B136" i="1"/>
  <c r="G117" i="1"/>
  <c r="G118" i="1"/>
  <c r="G119" i="1"/>
  <c r="G120" i="1"/>
  <c r="G121" i="1"/>
  <c r="G122" i="1"/>
  <c r="G116" i="1"/>
  <c r="F117" i="1"/>
  <c r="F118" i="1"/>
  <c r="F119" i="1"/>
  <c r="F120" i="1"/>
  <c r="F121" i="1"/>
  <c r="F122" i="1"/>
  <c r="F116" i="1"/>
  <c r="B117" i="1"/>
  <c r="B118" i="1"/>
  <c r="B119" i="1"/>
  <c r="B120" i="1"/>
  <c r="B121" i="1"/>
  <c r="B122" i="1"/>
  <c r="B116" i="1"/>
  <c r="F113" i="1"/>
  <c r="F112" i="1"/>
  <c r="B113" i="1"/>
  <c r="B112" i="1"/>
  <c r="G105" i="1"/>
  <c r="G106" i="1"/>
  <c r="G107" i="1"/>
  <c r="G108" i="1"/>
  <c r="G104" i="1"/>
  <c r="F105" i="1"/>
  <c r="F106" i="1"/>
  <c r="F107" i="1"/>
  <c r="F108" i="1"/>
  <c r="F104" i="1"/>
  <c r="B105" i="1"/>
  <c r="B106" i="1"/>
  <c r="B107" i="1"/>
  <c r="B108" i="1"/>
  <c r="B104" i="1"/>
  <c r="G99" i="1"/>
  <c r="F100" i="1"/>
  <c r="F101" i="1"/>
  <c r="F99" i="1"/>
  <c r="B100" i="1"/>
  <c r="B101" i="1"/>
  <c r="B99" i="1"/>
  <c r="G95" i="1"/>
  <c r="G94" i="1"/>
  <c r="B95" i="1"/>
  <c r="B94" i="1"/>
  <c r="G82" i="1"/>
  <c r="G83" i="1"/>
  <c r="G84" i="1"/>
  <c r="G85" i="1"/>
  <c r="G86" i="1"/>
  <c r="G87" i="1"/>
  <c r="G88" i="1"/>
  <c r="G81" i="1"/>
  <c r="F82" i="1"/>
  <c r="F83" i="1"/>
  <c r="F84" i="1"/>
  <c r="F85" i="1"/>
  <c r="F86" i="1"/>
  <c r="F87" i="1"/>
  <c r="F88" i="1"/>
  <c r="F81" i="1"/>
  <c r="B82" i="1"/>
  <c r="B83" i="1"/>
  <c r="B84" i="1"/>
  <c r="B85" i="1"/>
  <c r="B86" i="1"/>
  <c r="B87" i="1"/>
  <c r="B88" i="1"/>
  <c r="B81" i="1"/>
  <c r="G78" i="1"/>
  <c r="B78" i="1"/>
  <c r="L31" i="17"/>
  <c r="L10" i="17"/>
  <c r="K35" i="17"/>
  <c r="K11" i="17"/>
  <c r="K28" i="17"/>
  <c r="K27" i="17"/>
  <c r="K26" i="17" s="1"/>
  <c r="L26" i="17"/>
  <c r="K37" i="17"/>
  <c r="K34" i="17"/>
  <c r="K33" i="17"/>
  <c r="K32" i="17"/>
  <c r="K31" i="17"/>
  <c r="K24" i="17"/>
  <c r="K23" i="17"/>
  <c r="K15" i="17"/>
  <c r="K14" i="17"/>
  <c r="K13" i="17"/>
  <c r="P46" i="20" l="1"/>
  <c r="K10" i="17"/>
  <c r="K8" i="17"/>
  <c r="K7" i="17"/>
  <c r="K6" i="17"/>
  <c r="M5" i="15" l="1"/>
  <c r="G5" i="15"/>
  <c r="N5" i="15"/>
  <c r="K39" i="17" l="1"/>
  <c r="F30" i="17"/>
  <c r="K30" i="17"/>
  <c r="K22" i="17"/>
  <c r="H24" i="17"/>
  <c r="C24" i="17"/>
  <c r="H23" i="17"/>
  <c r="C23" i="17"/>
  <c r="L8" i="17"/>
  <c r="C8" i="17"/>
  <c r="L7" i="17"/>
  <c r="C7" i="17"/>
  <c r="K5" i="17"/>
  <c r="L6" i="17"/>
  <c r="F5" i="17"/>
  <c r="I11" i="16"/>
  <c r="K11" i="16" s="1"/>
  <c r="D11" i="16"/>
  <c r="I10" i="16"/>
  <c r="K10" i="16" s="1"/>
  <c r="D10" i="16"/>
  <c r="I9" i="16"/>
  <c r="K9" i="16" s="1"/>
  <c r="D9" i="16"/>
  <c r="I8" i="16"/>
  <c r="K8" i="16" s="1"/>
  <c r="D8" i="16"/>
  <c r="I7" i="16"/>
  <c r="K7" i="16" s="1"/>
  <c r="D7" i="16"/>
  <c r="I6" i="16"/>
  <c r="K6" i="16" s="1"/>
  <c r="D6" i="16"/>
  <c r="I5" i="16"/>
  <c r="K5" i="16" s="1"/>
  <c r="D5" i="16"/>
  <c r="K4" i="16"/>
  <c r="F4" i="16"/>
  <c r="N7" i="15"/>
  <c r="G168" i="21" l="1"/>
  <c r="I168" i="21" s="1"/>
  <c r="G169" i="1"/>
  <c r="G167" i="21"/>
  <c r="I167" i="21" s="1"/>
  <c r="G168" i="1"/>
  <c r="G157" i="21"/>
  <c r="I157" i="21" s="1"/>
  <c r="G158" i="1"/>
  <c r="G156" i="21"/>
  <c r="I156" i="21" s="1"/>
  <c r="G157" i="1"/>
  <c r="G155" i="21"/>
  <c r="I155" i="21" s="1"/>
  <c r="G156" i="1"/>
  <c r="G110" i="21"/>
  <c r="I110" i="21" s="1"/>
  <c r="G113" i="1"/>
  <c r="G109" i="21"/>
  <c r="I109" i="21" s="1"/>
  <c r="G112" i="1"/>
  <c r="G98" i="21"/>
  <c r="I98" i="21" s="1"/>
  <c r="G101" i="1"/>
  <c r="G97" i="21"/>
  <c r="I97" i="21" s="1"/>
  <c r="G100" i="1"/>
  <c r="F10" i="16"/>
  <c r="F9" i="16"/>
  <c r="F6" i="16"/>
  <c r="F7" i="16"/>
  <c r="F5" i="16"/>
  <c r="F12" i="16" s="1"/>
  <c r="F8" i="16"/>
  <c r="F11" i="16"/>
  <c r="L30" i="17"/>
  <c r="F22" i="17"/>
  <c r="L22" i="17" s="1"/>
  <c r="L5" i="17"/>
  <c r="K12" i="16"/>
  <c r="K41" i="17" s="1"/>
  <c r="G59" i="1"/>
  <c r="G60" i="1"/>
  <c r="G61" i="1"/>
  <c r="G62" i="1"/>
  <c r="G63" i="1"/>
  <c r="G64" i="1"/>
  <c r="G58" i="1"/>
  <c r="F59" i="1"/>
  <c r="F60" i="1"/>
  <c r="F61" i="1"/>
  <c r="F62" i="1"/>
  <c r="F63" i="1"/>
  <c r="F64" i="1"/>
  <c r="F58" i="1"/>
  <c r="B59" i="1"/>
  <c r="B60" i="1"/>
  <c r="B61" i="1"/>
  <c r="B62" i="1"/>
  <c r="B63" i="1"/>
  <c r="B64" i="1"/>
  <c r="B58" i="1"/>
  <c r="G55" i="1"/>
  <c r="G54" i="1"/>
  <c r="F55" i="1"/>
  <c r="F54" i="1"/>
  <c r="B55" i="1"/>
  <c r="B54" i="1"/>
  <c r="F46" i="1"/>
  <c r="F47" i="1"/>
  <c r="F48" i="1"/>
  <c r="F45" i="1"/>
  <c r="F10" i="7"/>
  <c r="B48" i="1"/>
  <c r="B46" i="1"/>
  <c r="B47" i="1"/>
  <c r="B49" i="1"/>
  <c r="B45" i="1"/>
  <c r="G40" i="1"/>
  <c r="F41" i="1"/>
  <c r="F42" i="1"/>
  <c r="F40" i="1"/>
  <c r="B41" i="1"/>
  <c r="B42" i="1"/>
  <c r="B40" i="1"/>
  <c r="G36" i="1"/>
  <c r="G35" i="1"/>
  <c r="B36" i="1"/>
  <c r="B35" i="1"/>
  <c r="G28" i="1"/>
  <c r="G29" i="1"/>
  <c r="F28" i="1"/>
  <c r="F29" i="1"/>
  <c r="B28" i="1"/>
  <c r="B29" i="1"/>
  <c r="G21" i="1"/>
  <c r="G22" i="1"/>
  <c r="G23" i="1"/>
  <c r="G24" i="1"/>
  <c r="G25" i="1"/>
  <c r="G26" i="1"/>
  <c r="G27" i="1"/>
  <c r="G20" i="1"/>
  <c r="F21" i="1"/>
  <c r="F22" i="1"/>
  <c r="F23" i="1"/>
  <c r="F24" i="1"/>
  <c r="F25" i="1"/>
  <c r="F26" i="1"/>
  <c r="F27" i="1"/>
  <c r="F20" i="1"/>
  <c r="B21" i="1"/>
  <c r="B22" i="1"/>
  <c r="B23" i="1"/>
  <c r="B24" i="1"/>
  <c r="B25" i="1"/>
  <c r="B26" i="1"/>
  <c r="B27" i="1"/>
  <c r="B20" i="1"/>
  <c r="B17" i="1"/>
  <c r="C23" i="7"/>
  <c r="C22" i="7"/>
  <c r="C8" i="7"/>
  <c r="G42" i="1" s="1"/>
  <c r="C7" i="7"/>
  <c r="G41" i="1" s="1"/>
  <c r="C6" i="7"/>
  <c r="F30" i="7"/>
  <c r="E15" i="7"/>
  <c r="F43" i="7"/>
  <c r="J85" i="21" l="1"/>
  <c r="J121" i="21" s="1"/>
  <c r="K121" i="21" s="1"/>
  <c r="P179" i="21" s="1"/>
  <c r="K14" i="16"/>
  <c r="L41" i="17"/>
  <c r="F13" i="6"/>
  <c r="F12" i="6"/>
  <c r="F11" i="6"/>
  <c r="F10" i="6"/>
  <c r="F9" i="6"/>
  <c r="F8" i="6"/>
  <c r="F7" i="6"/>
  <c r="F6" i="6"/>
  <c r="F5" i="6"/>
  <c r="F4" i="6"/>
  <c r="C5" i="6"/>
  <c r="C6" i="6"/>
  <c r="C7" i="6"/>
  <c r="C8" i="6"/>
  <c r="C9" i="6"/>
  <c r="C10" i="6"/>
  <c r="C11" i="6"/>
  <c r="C12" i="6"/>
  <c r="C13" i="6"/>
  <c r="C4" i="6"/>
  <c r="F545" i="1" l="1"/>
  <c r="F546" i="1"/>
  <c r="F547" i="1"/>
  <c r="F548" i="1"/>
  <c r="F549" i="1"/>
  <c r="F550" i="1"/>
  <c r="F544" i="1"/>
  <c r="F543" i="1"/>
  <c r="F542" i="1"/>
  <c r="B545" i="1"/>
  <c r="B546" i="1"/>
  <c r="B547" i="1"/>
  <c r="B548" i="1"/>
  <c r="B549" i="1"/>
  <c r="B550" i="1"/>
  <c r="B544" i="1"/>
  <c r="B543" i="1"/>
  <c r="B542" i="1"/>
  <c r="F539" i="1" l="1"/>
  <c r="F538" i="1"/>
  <c r="B539" i="1"/>
  <c r="B538" i="1"/>
  <c r="F533" i="1"/>
  <c r="F531" i="1"/>
  <c r="F532" i="1"/>
  <c r="F534" i="1"/>
  <c r="F530" i="1"/>
  <c r="B533" i="1"/>
  <c r="B531" i="1"/>
  <c r="B532" i="1"/>
  <c r="B530" i="1"/>
  <c r="F526" i="1"/>
  <c r="F527" i="1"/>
  <c r="F525" i="1"/>
  <c r="B526" i="1"/>
  <c r="B527" i="1"/>
  <c r="B525" i="1"/>
  <c r="B522" i="1" l="1"/>
  <c r="B521" i="1"/>
  <c r="F509" i="1"/>
  <c r="F510" i="1"/>
  <c r="F511" i="1"/>
  <c r="F512" i="1"/>
  <c r="F513" i="1"/>
  <c r="F514" i="1"/>
  <c r="F515" i="1"/>
  <c r="F508" i="1"/>
  <c r="B509" i="1"/>
  <c r="B510" i="1"/>
  <c r="B511" i="1"/>
  <c r="B512" i="1"/>
  <c r="B513" i="1"/>
  <c r="B514" i="1"/>
  <c r="B515" i="1"/>
  <c r="B508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493" i="1"/>
  <c r="B473" i="1" l="1"/>
  <c r="B474" i="1"/>
  <c r="B475" i="1"/>
  <c r="B476" i="1"/>
  <c r="B477" i="1"/>
  <c r="B478" i="1"/>
  <c r="B472" i="1"/>
  <c r="B471" i="1"/>
  <c r="B470" i="1"/>
  <c r="F467" i="1"/>
  <c r="F466" i="1"/>
  <c r="B467" i="1"/>
  <c r="B466" i="1"/>
  <c r="F461" i="1"/>
  <c r="F459" i="1"/>
  <c r="F460" i="1"/>
  <c r="F462" i="1"/>
  <c r="F458" i="1"/>
  <c r="B461" i="1"/>
  <c r="B459" i="1"/>
  <c r="B460" i="1"/>
  <c r="B458" i="1"/>
  <c r="F454" i="1"/>
  <c r="F455" i="1"/>
  <c r="F453" i="1"/>
  <c r="B454" i="1"/>
  <c r="B455" i="1"/>
  <c r="B453" i="1"/>
  <c r="B450" i="1"/>
  <c r="B449" i="1"/>
  <c r="F437" i="1"/>
  <c r="F438" i="1"/>
  <c r="F439" i="1"/>
  <c r="F440" i="1"/>
  <c r="F441" i="1"/>
  <c r="F442" i="1"/>
  <c r="F443" i="1"/>
  <c r="F436" i="1"/>
  <c r="B437" i="1"/>
  <c r="B438" i="1"/>
  <c r="B439" i="1"/>
  <c r="B440" i="1"/>
  <c r="B441" i="1"/>
  <c r="B442" i="1"/>
  <c r="B443" i="1"/>
  <c r="B436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21" i="1"/>
  <c r="X16" i="10"/>
  <c r="W12" i="10" l="1"/>
  <c r="X12" i="10"/>
  <c r="X34" i="10"/>
  <c r="X20" i="10"/>
  <c r="X33" i="10"/>
  <c r="M12" i="9"/>
  <c r="D41" i="9" l="1"/>
  <c r="D27" i="9"/>
  <c r="D13" i="9"/>
  <c r="D40" i="9"/>
  <c r="R53" i="10"/>
  <c r="W53" i="10"/>
  <c r="F478" i="1" l="1"/>
  <c r="F477" i="1"/>
  <c r="F476" i="1"/>
  <c r="F475" i="1"/>
  <c r="F474" i="1"/>
  <c r="F473" i="1"/>
  <c r="F472" i="1"/>
  <c r="F471" i="1"/>
  <c r="F401" i="1"/>
  <c r="F403" i="1"/>
  <c r="F404" i="1"/>
  <c r="F405" i="1"/>
  <c r="F406" i="1"/>
  <c r="F400" i="1"/>
  <c r="G552" i="21"/>
  <c r="F399" i="1"/>
  <c r="F398" i="1"/>
  <c r="B405" i="1" l="1"/>
  <c r="B406" i="1"/>
  <c r="B401" i="1"/>
  <c r="B403" i="1"/>
  <c r="B404" i="1"/>
  <c r="B400" i="1"/>
  <c r="B399" i="1"/>
  <c r="B398" i="1"/>
  <c r="F395" i="1"/>
  <c r="F394" i="1"/>
  <c r="B395" i="1"/>
  <c r="B394" i="1"/>
  <c r="G549" i="21"/>
  <c r="C24" i="10"/>
  <c r="G548" i="21"/>
  <c r="C23" i="10"/>
  <c r="F389" i="1" l="1"/>
  <c r="F387" i="1"/>
  <c r="F388" i="1"/>
  <c r="F390" i="1"/>
  <c r="F386" i="1"/>
  <c r="B390" i="1"/>
  <c r="B389" i="1"/>
  <c r="B387" i="1"/>
  <c r="B388" i="1"/>
  <c r="B386" i="1"/>
  <c r="F382" i="1" l="1"/>
  <c r="F383" i="1"/>
  <c r="F381" i="1"/>
  <c r="T8" i="10"/>
  <c r="G537" i="21"/>
  <c r="C8" i="10"/>
  <c r="T7" i="10"/>
  <c r="G536" i="21"/>
  <c r="C7" i="10"/>
  <c r="T6" i="10"/>
  <c r="G535" i="21"/>
  <c r="B382" i="1" l="1"/>
  <c r="B383" i="1"/>
  <c r="B381" i="1"/>
  <c r="B378" i="1"/>
  <c r="B377" i="1"/>
  <c r="G532" i="21"/>
  <c r="C28" i="10"/>
  <c r="G531" i="21"/>
  <c r="C27" i="10"/>
  <c r="M34" i="9"/>
  <c r="M35" i="9"/>
  <c r="M36" i="9"/>
  <c r="M37" i="9"/>
  <c r="M38" i="9"/>
  <c r="M39" i="9"/>
  <c r="M40" i="9"/>
  <c r="M33" i="9"/>
  <c r="M20" i="9"/>
  <c r="M21" i="9"/>
  <c r="M22" i="9"/>
  <c r="M23" i="9"/>
  <c r="M24" i="9"/>
  <c r="M25" i="9"/>
  <c r="M26" i="9"/>
  <c r="M19" i="9"/>
  <c r="M6" i="9"/>
  <c r="M7" i="9"/>
  <c r="M8" i="9"/>
  <c r="M9" i="9"/>
  <c r="M10" i="9"/>
  <c r="M11" i="9"/>
  <c r="M5" i="9"/>
  <c r="F365" i="1"/>
  <c r="F366" i="1"/>
  <c r="F367" i="1"/>
  <c r="F368" i="1"/>
  <c r="F369" i="1"/>
  <c r="F370" i="1"/>
  <c r="F371" i="1"/>
  <c r="F364" i="1"/>
  <c r="B365" i="1"/>
  <c r="B366" i="1"/>
  <c r="B367" i="1"/>
  <c r="B368" i="1"/>
  <c r="B369" i="1"/>
  <c r="B370" i="1"/>
  <c r="B371" i="1"/>
  <c r="B364" i="1"/>
  <c r="C34" i="9"/>
  <c r="C35" i="9"/>
  <c r="C36" i="9"/>
  <c r="C37" i="9"/>
  <c r="C38" i="9"/>
  <c r="C39" i="9"/>
  <c r="C40" i="9"/>
  <c r="C33" i="9"/>
  <c r="C20" i="9"/>
  <c r="J518" i="21" s="1"/>
  <c r="C21" i="9"/>
  <c r="J519" i="21" s="1"/>
  <c r="C22" i="9"/>
  <c r="J520" i="21" s="1"/>
  <c r="C23" i="9"/>
  <c r="J521" i="21" s="1"/>
  <c r="C24" i="9"/>
  <c r="J522" i="21" s="1"/>
  <c r="C25" i="9"/>
  <c r="J523" i="21" s="1"/>
  <c r="C26" i="9"/>
  <c r="J524" i="21" s="1"/>
  <c r="C19" i="9"/>
  <c r="C6" i="9"/>
  <c r="C7" i="9"/>
  <c r="C8" i="9"/>
  <c r="C9" i="9"/>
  <c r="C10" i="9"/>
  <c r="C11" i="9"/>
  <c r="C12" i="9"/>
  <c r="C5" i="9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49" i="1"/>
  <c r="E56" i="8"/>
  <c r="E37" i="8"/>
  <c r="E18" i="8"/>
  <c r="E53" i="8"/>
  <c r="E34" i="8"/>
  <c r="E15" i="8"/>
  <c r="G515" i="1" l="1"/>
  <c r="G524" i="21"/>
  <c r="I524" i="21" s="1"/>
  <c r="G514" i="1"/>
  <c r="G523" i="21"/>
  <c r="I523" i="21" s="1"/>
  <c r="G513" i="1"/>
  <c r="G522" i="21"/>
  <c r="I522" i="21"/>
  <c r="G512" i="1"/>
  <c r="G521" i="21"/>
  <c r="I521" i="21" s="1"/>
  <c r="G511" i="1"/>
  <c r="G520" i="21"/>
  <c r="I520" i="21" s="1"/>
  <c r="G510" i="1"/>
  <c r="G519" i="21"/>
  <c r="I519" i="21" s="1"/>
  <c r="G509" i="1"/>
  <c r="G518" i="21"/>
  <c r="I518" i="21"/>
  <c r="J517" i="21"/>
  <c r="C27" i="9"/>
  <c r="Q47" i="10" s="1"/>
  <c r="G508" i="1"/>
  <c r="G517" i="21"/>
  <c r="E51" i="8"/>
  <c r="E32" i="8"/>
  <c r="E13" i="8"/>
  <c r="E50" i="8"/>
  <c r="E31" i="8"/>
  <c r="E12" i="8"/>
  <c r="E11" i="8"/>
  <c r="E48" i="8"/>
  <c r="E29" i="8"/>
  <c r="E10" i="8"/>
  <c r="E46" i="8"/>
  <c r="E27" i="8"/>
  <c r="E8" i="8"/>
  <c r="E44" i="8"/>
  <c r="E25" i="8"/>
  <c r="E6" i="8"/>
  <c r="E43" i="8"/>
  <c r="E24" i="8"/>
  <c r="W33" i="10"/>
  <c r="G494" i="1" l="1"/>
  <c r="G502" i="21"/>
  <c r="G493" i="1"/>
  <c r="G501" i="21"/>
  <c r="I517" i="21"/>
  <c r="J525" i="21"/>
  <c r="E18" i="10"/>
  <c r="J553" i="21"/>
  <c r="I553" i="21" s="1"/>
  <c r="E20" i="10"/>
  <c r="W20" i="10"/>
  <c r="W18" i="10" s="1"/>
  <c r="F18" i="10"/>
  <c r="R18" i="10"/>
  <c r="J552" i="21"/>
  <c r="E19" i="10"/>
  <c r="W19" i="10"/>
  <c r="D65" i="8"/>
  <c r="D63" i="8"/>
  <c r="J549" i="21"/>
  <c r="I549" i="21" s="1"/>
  <c r="Q23" i="10"/>
  <c r="J548" i="21" s="1"/>
  <c r="J531" i="21"/>
  <c r="J545" i="21"/>
  <c r="I545" i="21" s="1"/>
  <c r="J544" i="21"/>
  <c r="I544" i="21" s="1"/>
  <c r="J542" i="21"/>
  <c r="I542" i="21" s="1"/>
  <c r="J541" i="21"/>
  <c r="I541" i="21" s="1"/>
  <c r="J540" i="21"/>
  <c r="J537" i="21"/>
  <c r="I537" i="21" s="1"/>
  <c r="J536" i="21"/>
  <c r="I536" i="21" s="1"/>
  <c r="E31" i="10"/>
  <c r="E23" i="10"/>
  <c r="E15" i="10"/>
  <c r="E13" i="10"/>
  <c r="E12" i="10"/>
  <c r="E11" i="10"/>
  <c r="F65" i="8"/>
  <c r="G63" i="8"/>
  <c r="F61" i="8"/>
  <c r="R7" i="11"/>
  <c r="Q7" i="11" s="1"/>
  <c r="O7" i="11" s="1"/>
  <c r="F7" i="11"/>
  <c r="E7" i="11" s="1"/>
  <c r="C7" i="11" s="1"/>
  <c r="W6" i="11"/>
  <c r="V6" i="11" s="1"/>
  <c r="T6" i="11" s="1"/>
  <c r="K7" i="11"/>
  <c r="Q6" i="11"/>
  <c r="O6" i="11" s="1"/>
  <c r="K6" i="11"/>
  <c r="E6" i="11"/>
  <c r="C6" i="11" s="1"/>
  <c r="I531" i="21" l="1"/>
  <c r="I548" i="21"/>
  <c r="J550" i="21"/>
  <c r="I552" i="21"/>
  <c r="J561" i="21"/>
  <c r="Q18" i="10"/>
  <c r="I540" i="21"/>
  <c r="J546" i="21"/>
  <c r="J535" i="21"/>
  <c r="V18" i="10"/>
  <c r="R10" i="11"/>
  <c r="W7" i="11"/>
  <c r="W10" i="11" s="1"/>
  <c r="F10" i="11"/>
  <c r="X10" i="11" s="1"/>
  <c r="X48" i="10" s="1"/>
  <c r="D61" i="8"/>
  <c r="L7" i="11"/>
  <c r="V7" i="11"/>
  <c r="T7" i="11" s="1"/>
  <c r="L6" i="11"/>
  <c r="L5" i="11"/>
  <c r="K5" i="11"/>
  <c r="I535" i="21" l="1"/>
  <c r="J538" i="21"/>
  <c r="E24" i="10"/>
  <c r="R10" i="10"/>
  <c r="R43" i="10"/>
  <c r="W43" i="10"/>
  <c r="F43" i="10"/>
  <c r="V37" i="10"/>
  <c r="V33" i="10"/>
  <c r="V32" i="10"/>
  <c r="V31" i="10"/>
  <c r="E37" i="10"/>
  <c r="E34" i="10"/>
  <c r="E33" i="10"/>
  <c r="E32" i="10"/>
  <c r="K10" i="11" l="1"/>
  <c r="V15" i="10"/>
  <c r="V13" i="10"/>
  <c r="V11" i="10"/>
  <c r="F30" i="10"/>
  <c r="F22" i="10"/>
  <c r="F5" i="10"/>
  <c r="W34" i="10" l="1"/>
  <c r="V34" i="10" s="1"/>
  <c r="W32" i="10"/>
  <c r="R32" i="10"/>
  <c r="F32" i="10"/>
  <c r="W31" i="10"/>
  <c r="R31" i="10"/>
  <c r="F31" i="10"/>
  <c r="W28" i="10"/>
  <c r="P18" i="8"/>
  <c r="P15" i="8"/>
  <c r="P10" i="8"/>
  <c r="P12" i="8"/>
  <c r="G8" i="8"/>
  <c r="P8" i="8"/>
  <c r="G5" i="8"/>
  <c r="X27" i="10"/>
  <c r="F27" i="10" s="1"/>
  <c r="W15" i="10"/>
  <c r="F11" i="10"/>
  <c r="V8" i="10"/>
  <c r="V6" i="10"/>
  <c r="E8" i="10"/>
  <c r="E7" i="10"/>
  <c r="W8" i="10"/>
  <c r="W7" i="10"/>
  <c r="V7" i="10" s="1"/>
  <c r="W6" i="10"/>
  <c r="E16" i="10" l="1"/>
  <c r="F10" i="10"/>
  <c r="W16" i="10"/>
  <c r="V16" i="10" s="1"/>
  <c r="V45" i="10" s="1"/>
  <c r="B65" i="8" s="1"/>
  <c r="E27" i="10"/>
  <c r="W27" i="10"/>
  <c r="L10" i="11"/>
  <c r="O11" i="11" s="1"/>
  <c r="R14" i="10"/>
  <c r="R5" i="10"/>
  <c r="K42" i="10"/>
  <c r="M40" i="10"/>
  <c r="L37" i="10"/>
  <c r="K34" i="10"/>
  <c r="L34" i="10"/>
  <c r="K33" i="10"/>
  <c r="K32" i="10"/>
  <c r="L32" i="10"/>
  <c r="K31" i="10"/>
  <c r="K28" i="10"/>
  <c r="K27" i="10"/>
  <c r="H27" i="10"/>
  <c r="K24" i="10"/>
  <c r="L24" i="10"/>
  <c r="K23" i="10"/>
  <c r="L23" i="10"/>
  <c r="L16" i="10"/>
  <c r="H16" i="10"/>
  <c r="K15" i="10"/>
  <c r="K14" i="10"/>
  <c r="F14" i="10"/>
  <c r="K13" i="10"/>
  <c r="L13" i="10"/>
  <c r="K12" i="10"/>
  <c r="L12" i="10"/>
  <c r="K11" i="10"/>
  <c r="L11" i="10"/>
  <c r="K8" i="10"/>
  <c r="L8" i="10"/>
  <c r="K7" i="10"/>
  <c r="K6" i="10"/>
  <c r="K5" i="10" s="1"/>
  <c r="L6" i="10"/>
  <c r="P65" i="8" l="1"/>
  <c r="R65" i="8" s="1"/>
  <c r="L33" i="10"/>
  <c r="L22" i="10"/>
  <c r="L27" i="10"/>
  <c r="K26" i="10"/>
  <c r="L7" i="10"/>
  <c r="L14" i="10"/>
  <c r="K22" i="10"/>
  <c r="R22" i="10"/>
  <c r="L31" i="10"/>
  <c r="L30" i="10" s="1"/>
  <c r="R30" i="10"/>
  <c r="L5" i="10"/>
  <c r="K10" i="10"/>
  <c r="K40" i="10" s="1"/>
  <c r="L15" i="10"/>
  <c r="K43" i="10"/>
  <c r="K45" i="10" s="1"/>
  <c r="H12" i="9"/>
  <c r="H7" i="9"/>
  <c r="H5" i="9"/>
  <c r="F44" i="8"/>
  <c r="F45" i="8"/>
  <c r="F47" i="8"/>
  <c r="F49" i="8"/>
  <c r="F51" i="8"/>
  <c r="F52" i="8"/>
  <c r="F53" i="8"/>
  <c r="F54" i="8"/>
  <c r="F55" i="8"/>
  <c r="F43" i="8"/>
  <c r="F25" i="8"/>
  <c r="J502" i="21" s="1"/>
  <c r="I502" i="21" s="1"/>
  <c r="F26" i="8"/>
  <c r="J503" i="21" s="1"/>
  <c r="I503" i="21" s="1"/>
  <c r="F28" i="8"/>
  <c r="J505" i="21" s="1"/>
  <c r="I505" i="21" s="1"/>
  <c r="F30" i="8"/>
  <c r="J507" i="21" s="1"/>
  <c r="I507" i="21" s="1"/>
  <c r="F32" i="8"/>
  <c r="J509" i="21" s="1"/>
  <c r="I509" i="21" s="1"/>
  <c r="F33" i="8"/>
  <c r="J510" i="21" s="1"/>
  <c r="I510" i="21" s="1"/>
  <c r="F35" i="8"/>
  <c r="J512" i="21" s="1"/>
  <c r="I512" i="21" s="1"/>
  <c r="F36" i="8"/>
  <c r="J513" i="21" s="1"/>
  <c r="I513" i="21" s="1"/>
  <c r="F37" i="8"/>
  <c r="J514" i="21" s="1"/>
  <c r="I514" i="21" s="1"/>
  <c r="F24" i="8"/>
  <c r="F6" i="8"/>
  <c r="F7" i="8"/>
  <c r="F9" i="8"/>
  <c r="F11" i="8"/>
  <c r="F13" i="8"/>
  <c r="F14" i="8"/>
  <c r="F16" i="8"/>
  <c r="F17" i="8"/>
  <c r="F5" i="8"/>
  <c r="G56" i="8"/>
  <c r="F56" i="8" s="1"/>
  <c r="G37" i="8"/>
  <c r="G55" i="8"/>
  <c r="G36" i="8"/>
  <c r="P17" i="8"/>
  <c r="G17" i="8" s="1"/>
  <c r="G54" i="8"/>
  <c r="G35" i="8"/>
  <c r="P16" i="8"/>
  <c r="G16" i="8" s="1"/>
  <c r="G53" i="8"/>
  <c r="G34" i="8"/>
  <c r="F34" i="8" s="1"/>
  <c r="J511" i="21" s="1"/>
  <c r="I511" i="21" s="1"/>
  <c r="G15" i="8"/>
  <c r="F15" i="8" s="1"/>
  <c r="J501" i="21" l="1"/>
  <c r="W22" i="10"/>
  <c r="L10" i="10"/>
  <c r="W14" i="10"/>
  <c r="W10" i="10" s="1"/>
  <c r="W26" i="10"/>
  <c r="W5" i="10"/>
  <c r="L43" i="10"/>
  <c r="H13" i="9"/>
  <c r="H14" i="9" s="1"/>
  <c r="G18" i="8"/>
  <c r="F18" i="8" s="1"/>
  <c r="P14" i="8"/>
  <c r="G33" i="8" s="1"/>
  <c r="G52" i="8"/>
  <c r="G51" i="8"/>
  <c r="P13" i="8"/>
  <c r="G32" i="8" s="1"/>
  <c r="G50" i="8"/>
  <c r="F50" i="8" s="1"/>
  <c r="G31" i="8"/>
  <c r="F31" i="8" s="1"/>
  <c r="J508" i="21" s="1"/>
  <c r="I508" i="21" s="1"/>
  <c r="G49" i="8"/>
  <c r="P11" i="8"/>
  <c r="G30" i="8" s="1"/>
  <c r="G48" i="8"/>
  <c r="F48" i="8" s="1"/>
  <c r="G29" i="8"/>
  <c r="F29" i="8" s="1"/>
  <c r="J506" i="21" s="1"/>
  <c r="I506" i="21" s="1"/>
  <c r="G47" i="8"/>
  <c r="P9" i="8"/>
  <c r="G28" i="8" s="1"/>
  <c r="G46" i="8"/>
  <c r="G27" i="8"/>
  <c r="G45" i="8"/>
  <c r="P7" i="8"/>
  <c r="G26" i="8" s="1"/>
  <c r="G44" i="8"/>
  <c r="P6" i="8"/>
  <c r="G25" i="8" s="1"/>
  <c r="P5" i="8"/>
  <c r="Q5" i="8" s="1"/>
  <c r="N5" i="8"/>
  <c r="I501" i="21" l="1"/>
  <c r="W30" i="10"/>
  <c r="W40" i="10" s="1"/>
  <c r="G57" i="8"/>
  <c r="F46" i="8"/>
  <c r="G38" i="8"/>
  <c r="F27" i="8"/>
  <c r="N13" i="8"/>
  <c r="G24" i="8"/>
  <c r="G43" i="8" s="1"/>
  <c r="M13" i="8"/>
  <c r="G6" i="8"/>
  <c r="G9" i="8"/>
  <c r="G10" i="8"/>
  <c r="F10" i="8" s="1"/>
  <c r="G11" i="8"/>
  <c r="G12" i="8"/>
  <c r="F12" i="8" s="1"/>
  <c r="G13" i="8"/>
  <c r="G7" i="8"/>
  <c r="G14" i="8"/>
  <c r="E5" i="5"/>
  <c r="L36" i="7"/>
  <c r="M39" i="7"/>
  <c r="K33" i="7"/>
  <c r="L33" i="7" s="1"/>
  <c r="K32" i="7"/>
  <c r="L32" i="7" s="1"/>
  <c r="K31" i="7"/>
  <c r="K30" i="7"/>
  <c r="L30" i="7"/>
  <c r="K27" i="7"/>
  <c r="L27" i="7" s="1"/>
  <c r="K26" i="7"/>
  <c r="L26" i="7" s="1"/>
  <c r="H26" i="7"/>
  <c r="K23" i="7"/>
  <c r="K21" i="7" s="1"/>
  <c r="K22" i="7"/>
  <c r="L22" i="7"/>
  <c r="L15" i="7"/>
  <c r="H15" i="7"/>
  <c r="C15" i="7"/>
  <c r="K14" i="7"/>
  <c r="L14" i="7"/>
  <c r="K13" i="7"/>
  <c r="L13" i="7" s="1"/>
  <c r="K12" i="7"/>
  <c r="K11" i="7"/>
  <c r="K10" i="7" s="1"/>
  <c r="K8" i="7"/>
  <c r="L8" i="7"/>
  <c r="K7" i="7"/>
  <c r="L7" i="7" s="1"/>
  <c r="K6" i="7"/>
  <c r="L6" i="7"/>
  <c r="F5" i="7"/>
  <c r="J13" i="6"/>
  <c r="J12" i="6"/>
  <c r="J11" i="6"/>
  <c r="J10" i="6"/>
  <c r="J9" i="6"/>
  <c r="J8" i="6"/>
  <c r="J7" i="6"/>
  <c r="J16" i="6" s="1"/>
  <c r="K41" i="7" s="1"/>
  <c r="J6" i="6"/>
  <c r="J5" i="6"/>
  <c r="J4" i="6"/>
  <c r="F16" i="6"/>
  <c r="O6" i="5"/>
  <c r="N6" i="5"/>
  <c r="O5" i="5"/>
  <c r="J504" i="21" l="1"/>
  <c r="F38" i="8"/>
  <c r="Q46" i="10" s="1"/>
  <c r="F63" i="8"/>
  <c r="K25" i="7"/>
  <c r="K5" i="7"/>
  <c r="L5" i="7"/>
  <c r="L11" i="7"/>
  <c r="L23" i="7"/>
  <c r="L25" i="7"/>
  <c r="W42" i="10"/>
  <c r="W45" i="10" s="1"/>
  <c r="G19" i="8"/>
  <c r="G59" i="8"/>
  <c r="X28" i="10" s="1"/>
  <c r="F8" i="8"/>
  <c r="L31" i="7"/>
  <c r="L29" i="7" s="1"/>
  <c r="F25" i="7"/>
  <c r="L12" i="7"/>
  <c r="J17" i="6"/>
  <c r="K39" i="7"/>
  <c r="L21" i="7"/>
  <c r="F21" i="7"/>
  <c r="F29" i="7"/>
  <c r="K42" i="7"/>
  <c r="K45" i="7" s="1"/>
  <c r="I504" i="21" l="1"/>
  <c r="J515" i="21"/>
  <c r="L10" i="7"/>
  <c r="R28" i="10"/>
  <c r="F28" i="10"/>
  <c r="L39" i="7"/>
  <c r="L42" i="7"/>
  <c r="L41" i="7" l="1"/>
  <c r="F26" i="10"/>
  <c r="L28" i="10"/>
  <c r="L26" i="10" s="1"/>
  <c r="L40" i="10" s="1"/>
  <c r="E28" i="10"/>
  <c r="Z27" i="10"/>
  <c r="R26" i="10"/>
  <c r="J532" i="21" l="1"/>
  <c r="Q40" i="10"/>
  <c r="Q49" i="10" s="1"/>
  <c r="L45" i="7"/>
  <c r="E45" i="10"/>
  <c r="B61" i="8" s="1"/>
  <c r="P61" i="8" s="1"/>
  <c r="R61" i="8" s="1"/>
  <c r="R40" i="10"/>
  <c r="R42" i="10"/>
  <c r="R45" i="10" s="1"/>
  <c r="Q45" i="10"/>
  <c r="B63" i="8" s="1"/>
  <c r="P63" i="8" s="1"/>
  <c r="R63" i="8" s="1"/>
  <c r="F40" i="10"/>
  <c r="X47" i="10" s="1"/>
  <c r="F42" i="10"/>
  <c r="I532" i="21" l="1"/>
  <c r="J533" i="21"/>
  <c r="J562" i="21" s="1"/>
  <c r="X49" i="10"/>
  <c r="L42" i="10"/>
  <c r="F45" i="10"/>
  <c r="L45" i="10" s="1"/>
  <c r="O46" i="10" s="1"/>
  <c r="R67" i="8"/>
  <c r="P562" i="21" l="1"/>
  <c r="K562" i="21"/>
  <c r="F42" i="17"/>
  <c r="F43" i="17" s="1"/>
  <c r="K40" i="17"/>
  <c r="L40" i="17" s="1"/>
  <c r="K42" i="17" l="1"/>
  <c r="L42" i="17" s="1"/>
</calcChain>
</file>

<file path=xl/comments1.xml><?xml version="1.0" encoding="utf-8"?>
<comments xmlns="http://schemas.openxmlformats.org/spreadsheetml/2006/main">
  <authors>
    <author>Автор</author>
  </authors>
  <commentList>
    <comment ref="A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прочие налоги</t>
        </r>
      </text>
    </comment>
    <comment ref="F3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1500,00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A5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на 1 квартал   100 000,00</t>
        </r>
      </text>
    </comment>
    <comment ref="A6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2 500,00 5 лет    (150)</t>
        </r>
      </text>
    </comment>
    <comment ref="A7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на каждое посещение   55 руб 30 штук в пачки   22 340,0</t>
        </r>
      </text>
    </comment>
    <comment ref="A12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22 340 * 2,44</t>
        </r>
      </text>
    </comment>
    <comment ref="A13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18 000,00</t>
        </r>
      </text>
    </comment>
    <comment ref="A1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22 340 * 2,44  2,5руб цена</t>
        </r>
      </text>
    </comment>
    <comment ref="A15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18 000,00   250 руб цена  192 в год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A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прочие налоги</t>
        </r>
      </text>
    </comment>
  </commentList>
</comments>
</file>

<file path=xl/comments4.xml><?xml version="1.0" encoding="utf-8"?>
<comments xmlns="http://schemas.openxmlformats.org/spreadsheetml/2006/main">
  <authors>
    <author>Автор</author>
  </authors>
  <commentList>
    <comment ref="A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равно количеству учеников (500) 9 лет</t>
        </r>
      </text>
    </comment>
    <comment ref="A5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 комплект на 15 человек (1400) 9 лет</t>
        </r>
      </text>
    </comment>
    <comment ref="A6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36 комплектов 4*9  (2400) 10 лет</t>
        </r>
      </text>
    </comment>
    <comment ref="A7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 комплкт примерно на 1 отделение отделений 5 (2000)</t>
        </r>
      </text>
    </comment>
    <comment ref="A8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 отделение 15 учебников (450) 10 лет</t>
        </r>
      </text>
    </comment>
    <comment ref="A9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30 человек  (400) 2 года</t>
        </r>
      </text>
    </comment>
    <comment ref="A10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25 комплектов (300) 1,5 года</t>
        </r>
      </text>
    </comment>
    <comment ref="A11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110 человек  (2400) 5 лет</t>
        </r>
      </text>
    </comment>
  </commentList>
</comments>
</file>

<file path=xl/comments5.xml><?xml version="1.0" encoding="utf-8"?>
<comments xmlns="http://schemas.openxmlformats.org/spreadsheetml/2006/main">
  <authors>
    <author>Автор</author>
  </authors>
  <commentList>
    <comment ref="A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налоги и прочие</t>
        </r>
      </text>
    </comment>
  </commentList>
</comments>
</file>

<file path=xl/comments6.xml><?xml version="1.0" encoding="utf-8"?>
<comments xmlns="http://schemas.openxmlformats.org/spreadsheetml/2006/main">
  <authors>
    <author>Автор</author>
  </authors>
  <commentList>
    <comment ref="N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 них 76 платные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прочие налоги</t>
        </r>
      </text>
    </comment>
    <comment ref="N3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 них 76 платные</t>
        </r>
      </text>
    </comment>
    <comment ref="F3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1500,00</t>
        </r>
      </text>
    </comment>
    <comment ref="R3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1500,00</t>
        </r>
      </text>
    </comment>
    <comment ref="W3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1500,00</t>
        </r>
      </text>
    </comment>
  </commentList>
</comments>
</file>

<file path=xl/sharedStrings.xml><?xml version="1.0" encoding="utf-8"?>
<sst xmlns="http://schemas.openxmlformats.org/spreadsheetml/2006/main" count="1819" uniqueCount="320">
  <si>
    <t>Приложение №1</t>
  </si>
  <si>
    <t>Приложение №2</t>
  </si>
  <si>
    <t>к приказу отдела культуры и молодёжной</t>
  </si>
  <si>
    <t xml:space="preserve">политики администрации Ипатовского городского </t>
  </si>
  <si>
    <t>Значения</t>
  </si>
  <si>
    <t xml:space="preserve">натуральных норм, необходимых для определения базового норматива затрат на </t>
  </si>
  <si>
    <t>оказание муниципальных услуг:</t>
  </si>
  <si>
    <t>Тут наименование услуги</t>
  </si>
  <si>
    <t>(наименование муниципальной услуги 1)</t>
  </si>
  <si>
    <t>№ п.п.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</si>
  <si>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</si>
  <si>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</si>
  <si>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</si>
  <si>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Срок полезного использования (лет)</t>
  </si>
  <si>
    <t>Натуральные нормы трудозатрат персонала, непосредственно связанного с оказанием муниципальной услуги</t>
  </si>
  <si>
    <t>Натуральные нормы потребления материальных запасов и особо ценного движимого имущества, потребляемого (используемого) в процессе оказания муниципальной услуги с учетом срока полезного использования</t>
  </si>
  <si>
    <t>Натуральные нормы потребления иных ресурсов, непосредственно связанных с оказанием муниципальной услуги потребляемого (используемого) в процессе оказания муниципальной услуги с учетом срока полезного использования</t>
  </si>
  <si>
    <t>II. Натуральные нормы затрат общехозяйственные нужды</t>
  </si>
  <si>
    <t>I. Натуральные нормы затрат непосредственно связанных с оказанием муниципальной услуги</t>
  </si>
  <si>
    <t>Натуральные нормы трудозатрат персонала, который не принимает непосредственного участия в оказании муниципальной услуги</t>
  </si>
  <si>
    <t>Натуральные нормы потребления коммунальных услуг</t>
  </si>
  <si>
    <t>III. Натуральные нормы потребления ресурсов на содержание объектов недвижимого имущества, необходимых для выполнения муниципального задания</t>
  </si>
  <si>
    <t>Натуральные нормы потребления услуг связи</t>
  </si>
  <si>
    <t>Натуральные нормы потребления прочих ресурсов</t>
  </si>
  <si>
    <t>Перечень</t>
  </si>
  <si>
    <t>(0000000000)</t>
  </si>
  <si>
    <t>Наименование отраслевого корректирующего коэффициента</t>
  </si>
  <si>
    <t>Описание особых условий оказания государственной услуги, учитываемых отраслевым корректирующим коэффициентом</t>
  </si>
  <si>
    <t>Приложение №3</t>
  </si>
  <si>
    <t>к Порядку</t>
  </si>
  <si>
    <t>Базовый норматив затрат на оказание муниципальных услуг</t>
  </si>
  <si>
    <t>Средняя стоимость (руб.)</t>
  </si>
  <si>
    <t>Базовый норматив затрат (руб.) (гр. 4 * гр. 5)</t>
  </si>
  <si>
    <t xml:space="preserve">отраслевые корректирующих коэффициентов к базовому нормативу затрат </t>
  </si>
  <si>
    <t>Значение отраслевого корректирующего коэффициента</t>
  </si>
  <si>
    <t>№ п/п</t>
  </si>
  <si>
    <t>Наименование штатной единицы, непосредственно оказывающейуслугу</t>
  </si>
  <si>
    <t>Объем услуги за отчетный год (2016)</t>
  </si>
  <si>
    <t>Реализация дополнительных предпрофессиональных программ в области искусств</t>
  </si>
  <si>
    <t>Реализация дополнительных общеразвивающих программ</t>
  </si>
  <si>
    <t>кол. учеников</t>
  </si>
  <si>
    <t>пед. аагрузка на одного ученика в год</t>
  </si>
  <si>
    <t>стоимось одного педагогического часа</t>
  </si>
  <si>
    <t>стоимость одного ученика в год</t>
  </si>
  <si>
    <t>итого</t>
  </si>
  <si>
    <t>итого педагогическая нагрузка в год</t>
  </si>
  <si>
    <t xml:space="preserve">преподаватель </t>
  </si>
  <si>
    <t>Материальные запасы</t>
  </si>
  <si>
    <t>кол.услуг</t>
  </si>
  <si>
    <t>кол. мат запасов на одну услугу</t>
  </si>
  <si>
    <t>итого материальных запасов в год</t>
  </si>
  <si>
    <t>Итого руб. в год</t>
  </si>
  <si>
    <t>цена</t>
  </si>
  <si>
    <t>художественная гуашь</t>
  </si>
  <si>
    <t>акварельные краски</t>
  </si>
  <si>
    <t>кисти</t>
  </si>
  <si>
    <t>учебные пособия</t>
  </si>
  <si>
    <t>литература по истории искусств</t>
  </si>
  <si>
    <t>карандаши</t>
  </si>
  <si>
    <t>бумага для живописи (А3)</t>
  </si>
  <si>
    <t>ватман ( для рисунка А3)</t>
  </si>
  <si>
    <t>клей ПВА</t>
  </si>
  <si>
    <t>ножницы</t>
  </si>
  <si>
    <t>Итого</t>
  </si>
  <si>
    <t>кол. услуг</t>
  </si>
  <si>
    <t>ед. измерения</t>
  </si>
  <si>
    <t>нат. норма на единицу</t>
  </si>
  <si>
    <t>ед. изм</t>
  </si>
  <si>
    <t>на единицу услуги руб.</t>
  </si>
  <si>
    <t>Всего</t>
  </si>
  <si>
    <t>Общий итог</t>
  </si>
  <si>
    <t>Затраты на коммунальные услуги;</t>
  </si>
  <si>
    <t>оплата потребления газа</t>
  </si>
  <si>
    <t>м. куб</t>
  </si>
  <si>
    <t>м3</t>
  </si>
  <si>
    <t>оплата потребления электрической энергии</t>
  </si>
  <si>
    <t>Квт/ч</t>
  </si>
  <si>
    <t>квт/ч</t>
  </si>
  <si>
    <t>оплата потребления водоснабжения</t>
  </si>
  <si>
    <t>м.куб</t>
  </si>
  <si>
    <t>Затраты на содержание объектов недвижимого имущества (в том числе затраты на арендные платежи);</t>
  </si>
  <si>
    <t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t>
  </si>
  <si>
    <t>договор</t>
  </si>
  <si>
    <t>Реагирование на соообщения о срабатывании тревожной сигнализации</t>
  </si>
  <si>
    <t>Тех обслуживание сети газораспределения</t>
  </si>
  <si>
    <t>Вывоз твердых бытовых отходов, утилизация отходов</t>
  </si>
  <si>
    <t>Прочие расходы на содержание объектов недвижимого имущества</t>
  </si>
  <si>
    <t>руб.</t>
  </si>
  <si>
    <t>Затраты на содержание объектов особо ценного движимого имущества;</t>
  </si>
  <si>
    <t>ГСМ</t>
  </si>
  <si>
    <t>Техническое обслуживание и ремонтов автотранспорта</t>
  </si>
  <si>
    <t>Затраты на приобретение услуг связи;</t>
  </si>
  <si>
    <t>интернет</t>
  </si>
  <si>
    <t>абон. плата</t>
  </si>
  <si>
    <t>Гб</t>
  </si>
  <si>
    <t>услуги связи</t>
  </si>
  <si>
    <t>мин.</t>
  </si>
  <si>
    <t>Затраты на оплату труда с начислениями на выплаты по оплате труда работников, которые не принимают непосредственного участия в оказании государственной (муниципальной) услуги;</t>
  </si>
  <si>
    <t>Административно-управленческий персонал</t>
  </si>
  <si>
    <t>человеко/часы</t>
  </si>
  <si>
    <t>Прочий обслуживающий персонал</t>
  </si>
  <si>
    <t>Затраты на почие общехозяйственные нужды</t>
  </si>
  <si>
    <t>Медицинский осмотр</t>
  </si>
  <si>
    <t>чел.</t>
  </si>
  <si>
    <t>Производственный контроль, аккарицидная обработка, дератизация, дезинфекция и пр. санитарно-гигиенические меропориятия</t>
  </si>
  <si>
    <t>Обучение персонала (электро, тепло, газовое хозяйство, пожарная безопасность, охрана труда и др.)</t>
  </si>
  <si>
    <t>Обслуживание программных комплексов</t>
  </si>
  <si>
    <t>Специальная оценка условий труда</t>
  </si>
  <si>
    <t>Страховое особо опасных объектов</t>
  </si>
  <si>
    <t>Проверка и ремонт измерительных приборов</t>
  </si>
  <si>
    <t xml:space="preserve">Базовый норматив затрат, непосредственно связанных с оказанием государственной (муниципальной ) услуги  </t>
  </si>
  <si>
    <t>зар. Плата</t>
  </si>
  <si>
    <t xml:space="preserve">Базовый норматив затрат, непосредственно связанных с оказанием государственной (муниципальной ) услуги  распределение трудозатрат </t>
  </si>
  <si>
    <t>мат. Запасы</t>
  </si>
  <si>
    <r>
      <t xml:space="preserve">Базовый норматив затрат, непосредственно связанных с оказанием государственной (муниципальной ) услуги  распределение материальных запасов и особо ценного движимого имущества </t>
    </r>
    <r>
      <rPr>
        <sz val="11"/>
        <color rgb="FFFF0000"/>
        <rFont val="Times New Roman"/>
        <family val="1"/>
        <charset val="204"/>
      </rPr>
      <t>по муниципальному бюджетному учреждению дополнительного образования "Детская художественная школа" Ипатовского района Ставропольского края 2022 год</t>
    </r>
  </si>
  <si>
    <r>
      <t xml:space="preserve">Базовый норматив затрат на общехозяйственные нужды на оказание государственной (муниципальной) услуги </t>
    </r>
    <r>
      <rPr>
        <sz val="11"/>
        <color rgb="FFFF0000"/>
        <rFont val="Times New Roman"/>
        <family val="1"/>
        <charset val="204"/>
      </rPr>
      <t>по муниципальному бюджетному учреждению дополнительного образования "Детская художественная школа" Ипатовского района Ставропольского края 2022 год</t>
    </r>
  </si>
  <si>
    <t>(802112О.99.0.ББ55АД16000)</t>
  </si>
  <si>
    <t>(наименование муниципальной услуги 2)</t>
  </si>
  <si>
    <t>ДХШ</t>
  </si>
  <si>
    <t>ДШИ</t>
  </si>
  <si>
    <t>(наименование муниципальной услуги 3)</t>
  </si>
  <si>
    <t>(наименование муниципальной услуги 7)</t>
  </si>
  <si>
    <t>КДЦ</t>
  </si>
  <si>
    <t>(наименование муниципальной услуги 8)</t>
  </si>
  <si>
    <t>(наименование муниципальной услуги 9)</t>
  </si>
  <si>
    <t>ЦКС</t>
  </si>
  <si>
    <t>Директор</t>
  </si>
  <si>
    <t>Художественный руководитель</t>
  </si>
  <si>
    <t>Звукооператор</t>
  </si>
  <si>
    <t>Редактор клубного учреждения</t>
  </si>
  <si>
    <t>Художник по свету</t>
  </si>
  <si>
    <t>Руководитель кружка</t>
  </si>
  <si>
    <t>Руководитель кукольного кружка</t>
  </si>
  <si>
    <t>Балетмейстер-постановщик</t>
  </si>
  <si>
    <t>Режиссер- постановщик театра</t>
  </si>
  <si>
    <t>Режиссер массовых представлений</t>
  </si>
  <si>
    <t>Наименование штатной единицы, непосредственно оказывающей услугу</t>
  </si>
  <si>
    <t>пед. нагрузка на одного ученика в год</t>
  </si>
  <si>
    <t>Художник - оформитель</t>
  </si>
  <si>
    <t>культ организатор</t>
  </si>
  <si>
    <t>хормейстер</t>
  </si>
  <si>
    <r>
      <rPr>
        <b/>
        <sz val="12"/>
        <color rgb="FF00B0F0"/>
        <rFont val="Times New Roman"/>
        <family val="1"/>
        <charset val="204"/>
      </rPr>
      <t xml:space="preserve">Организация деятельности клубных формирований и формирований самодеятельного народного творчества </t>
    </r>
    <r>
      <rPr>
        <b/>
        <sz val="12"/>
        <color theme="1"/>
        <rFont val="Times New Roman"/>
        <family val="1"/>
        <charset val="204"/>
      </rPr>
      <t>949916О.99.0.ББ78АА00003</t>
    </r>
  </si>
  <si>
    <r>
      <rPr>
        <b/>
        <sz val="12"/>
        <color rgb="FF00B0F0"/>
        <rFont val="Times New Roman"/>
        <family val="1"/>
        <charset val="204"/>
      </rPr>
      <t xml:space="preserve">Организация и проведение мероприятий  </t>
    </r>
    <r>
      <rPr>
        <b/>
        <sz val="12"/>
        <color theme="1"/>
        <rFont val="Times New Roman"/>
        <family val="1"/>
        <charset val="204"/>
      </rPr>
      <t>900400О.99.0.ББ84АА00001 (Платная)    900400О.99.0.ББ72АА0001 (Бесплатная)</t>
    </r>
  </si>
  <si>
    <t>кол-во клубнх формирований</t>
  </si>
  <si>
    <t>кол-во мероприятий</t>
  </si>
  <si>
    <t>кол- во спектаклей</t>
  </si>
  <si>
    <t>затрат на единицу услуг</t>
  </si>
  <si>
    <r>
      <t xml:space="preserve">Базовый норматив затрат, непосредственно связанных с оказанием государственной (муниципальной ) услуги  распределение трудозатрат по </t>
    </r>
    <r>
      <rPr>
        <b/>
        <sz val="12"/>
        <color rgb="FFFF0000"/>
        <rFont val="Times New Roman"/>
        <family val="1"/>
        <charset val="204"/>
      </rPr>
      <t>муниципальному бюджетному учреждению культуры "Ипатовская центральная клубная система" на 2022 год</t>
    </r>
  </si>
  <si>
    <t>Организация деятельности клубных формирований и формирований самодеятельного народного творчества 949916О.99.0.ББ78АА00003</t>
  </si>
  <si>
    <t>бумага офисная</t>
  </si>
  <si>
    <t>Организация и проведение мероприятий  900400О.99.0.ББ84АА00001 (Платная)    900400О.99.0.ББ72АА0001 (Бесплатная)</t>
  </si>
  <si>
    <t>Показ (организация показа) спектаклей (театральных постановок)                                                                         900400о.99.0.ББ7АА00002 (Платная) 900400О.99.ББ67АА01002 (Бесплатная)</t>
  </si>
  <si>
    <r>
      <t xml:space="preserve">Базовый норматив затрат на общехозяйственные нужды на оказание государственной (муниципальной) услуги </t>
    </r>
    <r>
      <rPr>
        <sz val="11"/>
        <color rgb="FFFF0000"/>
        <rFont val="Times New Roman"/>
        <family val="1"/>
        <charset val="204"/>
      </rPr>
      <t xml:space="preserve">по муниципальному бюджетному учреждению культуры "Ипатовская центральная клубная система" на 2022 год </t>
    </r>
  </si>
  <si>
    <t>итого затрат</t>
  </si>
  <si>
    <t>затрат на ед. услуг</t>
  </si>
  <si>
    <t>кол. Услуг</t>
  </si>
  <si>
    <r>
      <t xml:space="preserve">Расчет затрат на содежание имущества, не используемого для оказания муниципальных услуг  </t>
    </r>
    <r>
      <rPr>
        <sz val="11"/>
        <color rgb="FFFF0000"/>
        <rFont val="Times New Roman"/>
        <family val="1"/>
        <charset val="204"/>
      </rPr>
      <t xml:space="preserve">по муниципальному бюджетному учреждению культуры "Ипатовская центральная клубная система" на 2022 год </t>
    </r>
  </si>
  <si>
    <t>оплата потребления электрической  энергии (10%)</t>
  </si>
  <si>
    <t>затраты на уплату налогов</t>
  </si>
  <si>
    <t>л.</t>
  </si>
  <si>
    <t xml:space="preserve">Организация деятельности клубных формирований и формирований самодеятельного народного творчества </t>
  </si>
  <si>
    <t>(949916О.99.0.ББ78АА00003)</t>
  </si>
  <si>
    <t>чел. / час</t>
  </si>
  <si>
    <t>Х</t>
  </si>
  <si>
    <t>кол-во клубных формирований</t>
  </si>
  <si>
    <t>Зав. костюмерной</t>
  </si>
  <si>
    <t>расходы на полиграфическую продукцию</t>
  </si>
  <si>
    <t>уп.</t>
  </si>
  <si>
    <t>шт.</t>
  </si>
  <si>
    <t>Вкладыш в папку-скоросшиватель</t>
  </si>
  <si>
    <t>папка-скоросшиватель</t>
  </si>
  <si>
    <t>карандаш</t>
  </si>
  <si>
    <t>клей</t>
  </si>
  <si>
    <t>бумажные стикеры для заметок</t>
  </si>
  <si>
    <t>ручка офисная</t>
  </si>
  <si>
    <r>
      <t xml:space="preserve">Базовый норматив затрат, непосредственно связанных с оказанием государственной (муниципальной ) услуги  распределение материальных запасов и особо ценного движимого имущества  </t>
    </r>
    <r>
      <rPr>
        <sz val="11"/>
        <color rgb="FFFF0000"/>
        <rFont val="Times New Roman"/>
        <family val="1"/>
        <charset val="204"/>
      </rPr>
      <t>по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FF0000"/>
        <rFont val="Times New Roman"/>
        <family val="1"/>
        <charset val="204"/>
      </rPr>
      <t xml:space="preserve">муниципальному бюджетному учреждению культуры "Ипатовская центральная клубная система" на 2022 год </t>
    </r>
  </si>
  <si>
    <t>в натуральном выражении</t>
  </si>
  <si>
    <t>в натуральном выражении на одну услугу</t>
  </si>
  <si>
    <t>платные мероприятия ЦКС (ПЛАН)</t>
  </si>
  <si>
    <t>КОЛ-ВО</t>
  </si>
  <si>
    <t>РАЗМЕР ПЛАТЫ</t>
  </si>
  <si>
    <t>затрат на ед. услуг руб.</t>
  </si>
  <si>
    <t>итого затрат на ед. услуги в нат. выраж</t>
  </si>
  <si>
    <r>
      <rPr>
        <b/>
        <sz val="12"/>
        <color rgb="FF00B0F0"/>
        <rFont val="Times New Roman"/>
        <family val="1"/>
        <charset val="204"/>
      </rPr>
      <t xml:space="preserve">Показ (организация показа) спектаклей (театральных постановок) </t>
    </r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          900400О.99.0.ББ7АА00002 (Платная) 900400О.99.ББ67АА01002 (Бесплатная)</t>
    </r>
  </si>
  <si>
    <r>
      <t xml:space="preserve">Базовый норматив затрат, непосредственно связанных с оказанием государственной (муниципальной ) услуги  распределение трудозатрат по </t>
    </r>
    <r>
      <rPr>
        <b/>
        <sz val="11"/>
        <color rgb="FFFF0000"/>
        <rFont val="Times New Roman"/>
        <family val="1"/>
        <charset val="204"/>
      </rPr>
      <t>муниципальному бюджетному учреждению дополнительного образования "Детская художественная школа" Ипатовского района Ставропольского края 2022 год (802112О.99.0.ББ55АД16000)</t>
    </r>
  </si>
  <si>
    <t>итого га одну услугу руб.</t>
  </si>
  <si>
    <t>Базовый норматив затрат на общехозяйственные нужды на оказание государственной (муниципальной)</t>
  </si>
  <si>
    <t>Базовый норматив затрат, непосредственно связанных с оказанием государственной (муниципальной ) услуги  распределение трудозатрат</t>
  </si>
  <si>
    <t>затраты на содержание имущества, не используемого для оказания мун. услуг и затраты на уплату налогов</t>
  </si>
  <si>
    <t>Объем доходов от оказания муниципальных услуг за плату в рамках выполнения установленного муниципального задания</t>
  </si>
  <si>
    <t>С.И. Буцкая</t>
  </si>
  <si>
    <t>кол. материальных запасов на одну услугу</t>
  </si>
  <si>
    <t xml:space="preserve">итого материальных </t>
  </si>
  <si>
    <t>итого материальных запасов</t>
  </si>
  <si>
    <t>учебники</t>
  </si>
  <si>
    <t>учебные таблицы</t>
  </si>
  <si>
    <t>фоно и видеотека</t>
  </si>
  <si>
    <t>методическая и иная литература</t>
  </si>
  <si>
    <t>нотная литература</t>
  </si>
  <si>
    <t>трости для духовых инструментов</t>
  </si>
  <si>
    <t>струны для народных инструментов</t>
  </si>
  <si>
    <t>обувь хореографическая</t>
  </si>
  <si>
    <t>нат. норма за единицу</t>
  </si>
  <si>
    <t>на единицу услуги</t>
  </si>
  <si>
    <t>оплата отопления и технологических нужд</t>
  </si>
  <si>
    <t>Гкалл</t>
  </si>
  <si>
    <t>Кват/ч</t>
  </si>
  <si>
    <t>оплата водоснабжения и водоотведения</t>
  </si>
  <si>
    <t>Техническое обслуживание газового оборудования, дымоходов</t>
  </si>
  <si>
    <t>Техническое обслуживание и регламентно-профилактический ремонт, в том числе на подготовку отопительной системы к зимнему сезону</t>
  </si>
  <si>
    <t>Техническое обслуживание и регламентно-профилактический ремонт электрооборудования</t>
  </si>
  <si>
    <t>Прочие расходы</t>
  </si>
  <si>
    <t>Г</t>
  </si>
  <si>
    <t>Административно управленческий персонал</t>
  </si>
  <si>
    <t>Базовый норматив затрат, непосредственно связанных с оказанием государственной (муниципальной ) услуги  распределение материальных запасов и особо ценного движимого имущества</t>
  </si>
  <si>
    <r>
      <t xml:space="preserve">Базовый норматив затрат, непосредственно связанных с </t>
    </r>
    <r>
      <rPr>
        <sz val="11"/>
        <color rgb="FFFF0000"/>
        <rFont val="Times New Roman"/>
        <family val="1"/>
        <charset val="204"/>
      </rPr>
      <t>оказанием государственной (муниципальной ) услуги</t>
    </r>
    <r>
      <rPr>
        <sz val="11"/>
        <color theme="1"/>
        <rFont val="Times New Roman"/>
        <family val="1"/>
        <charset val="204"/>
      </rPr>
      <t xml:space="preserve">  распределение </t>
    </r>
    <r>
      <rPr>
        <sz val="11"/>
        <color rgb="FFFF0000"/>
        <rFont val="Times New Roman"/>
        <family val="1"/>
        <charset val="204"/>
      </rPr>
      <t>трудозатрат по муниципальному бюджетному учреждению дополнительного образования "Детская школа искусств" Ипатовского района Ставропольского края  2022 год</t>
    </r>
  </si>
  <si>
    <r>
      <t xml:space="preserve">Базовый норматив затрат, непосредственно связанных с </t>
    </r>
    <r>
      <rPr>
        <sz val="11"/>
        <color rgb="FFFF0000"/>
        <rFont val="Times New Roman"/>
        <family val="1"/>
        <charset val="204"/>
      </rPr>
      <t xml:space="preserve">оказанием государственной (муниципальной ) услуги  </t>
    </r>
    <r>
      <rPr>
        <sz val="11"/>
        <color theme="1"/>
        <rFont val="Times New Roman"/>
        <family val="1"/>
        <charset val="204"/>
      </rPr>
      <t xml:space="preserve">распределение </t>
    </r>
    <r>
      <rPr>
        <sz val="11"/>
        <color rgb="FFFF0000"/>
        <rFont val="Times New Roman"/>
        <family val="1"/>
        <charset val="204"/>
      </rPr>
      <t>материальных запасов</t>
    </r>
    <r>
      <rPr>
        <sz val="11"/>
        <color theme="1"/>
        <rFont val="Times New Roman"/>
        <family val="1"/>
        <charset val="204"/>
      </rPr>
      <t xml:space="preserve"> и особо ценного движимого имущества по муниципальному бюджетному учреждению дополнительного образования "Детская школа искусств" Ипатовского района Ставропольского края 2022 год</t>
    </r>
  </si>
  <si>
    <t>Базовый норматив затрат на общехозяйственные нужды на оказание государственной (муниципальной) услуги по муниципальному бюджетному учреждению дополнительного образования "Детская школа искусств"  Ипатовского района Ставропольского края 2022 год</t>
  </si>
  <si>
    <t>руб. на одного ученика в год</t>
  </si>
  <si>
    <t>А</t>
  </si>
  <si>
    <t>Реализация дополнительных предпрофессиональных программ в области искусств (802112О.99.0.ББ55АЕ84000; 802112О.99.0.ББ55АВ48000;  802112О.99.0.ББ55АА24000: 802112О.99.0.ББ55АБ92000;)</t>
  </si>
  <si>
    <t>Реализация дополнительных общеразвивающих программ (804200О.99.0.ББ52А344000)</t>
  </si>
  <si>
    <t>(802112О.99.0.ББ55АЕ84000; 802112О.99.0.ББ55АВ48000;  802112О.99.0.ББ55АА24000: 802112О.99.0.ББ55АБ92000;)</t>
  </si>
  <si>
    <t>(804200О.99.0.ББ52А344000)</t>
  </si>
  <si>
    <r>
      <t xml:space="preserve">Базовый норматив затрат, непосредственно связанных с оказанием государственной (муниципальной ) услуги  распределение трудозатрат по межпоселенческому </t>
    </r>
    <r>
      <rPr>
        <b/>
        <sz val="11"/>
        <color rgb="FFFF0000"/>
        <rFont val="Times New Roman"/>
        <family val="1"/>
        <charset val="204"/>
      </rPr>
      <t>муниципальному бюджетному учреждению культуры "Культурно-досуговый центр" Ипатовского района Ставропольского края 2021 год</t>
    </r>
  </si>
  <si>
    <t>Объем услуги на отчетный год (2020)</t>
  </si>
  <si>
    <t>человеко-часы (на единицу услуги)</t>
  </si>
  <si>
    <t>Итого человеко-часы</t>
  </si>
  <si>
    <t>стоимость одной услуги</t>
  </si>
  <si>
    <t>Стоимость одной услуги</t>
  </si>
  <si>
    <t>1.</t>
  </si>
  <si>
    <t>звукооператор</t>
  </si>
  <si>
    <t>2.</t>
  </si>
  <si>
    <t>менеджер по культурно-массовому досугу 2 категории</t>
  </si>
  <si>
    <t>3.</t>
  </si>
  <si>
    <t>художник-оформитель</t>
  </si>
  <si>
    <t>4.</t>
  </si>
  <si>
    <t>киномеханик</t>
  </si>
  <si>
    <t>5.</t>
  </si>
  <si>
    <t>кассир билетный</t>
  </si>
  <si>
    <t>6.</t>
  </si>
  <si>
    <t>Старший кассир</t>
  </si>
  <si>
    <t>7.</t>
  </si>
  <si>
    <t>механик по обслуживанию кинотелевизионного оборудования</t>
  </si>
  <si>
    <t>8.</t>
  </si>
  <si>
    <t>Культ организатор 1-й категории</t>
  </si>
  <si>
    <t>9.</t>
  </si>
  <si>
    <t>специалист по связи с общественностью</t>
  </si>
  <si>
    <r>
      <t>Базовый норматив затрат, непосредственно связанных с оказанием государственной (муниципальной ) услуги  распределение материальных запасов и особо ценного движимого имущества по межпоселенческому муниципальному бюджетному учреждению культуры</t>
    </r>
    <r>
      <rPr>
        <sz val="11"/>
        <color rgb="FFFF0000"/>
        <rFont val="Times New Roman"/>
        <family val="1"/>
        <charset val="204"/>
      </rPr>
      <t xml:space="preserve"> </t>
    </r>
    <r>
      <rPr>
        <b/>
        <sz val="11"/>
        <color rgb="FFFF0000"/>
        <rFont val="Times New Roman"/>
        <family val="1"/>
        <charset val="204"/>
      </rPr>
      <t xml:space="preserve"> "Культурно-досуговый центр" Ипатовского рпайона Ставропольского края 2021 год</t>
    </r>
  </si>
  <si>
    <t>Объем услуги на отчетный год (2017)</t>
  </si>
  <si>
    <t>Объем услуги на отчетный год (2017) итого</t>
  </si>
  <si>
    <t>итого мат. запасов</t>
  </si>
  <si>
    <t>материальных запасов и особо ценное движимое имущество</t>
  </si>
  <si>
    <t>ксеноновая лампа</t>
  </si>
  <si>
    <t>очки</t>
  </si>
  <si>
    <t>салфетки (для очков)</t>
  </si>
  <si>
    <t>бумага гигиеническая</t>
  </si>
  <si>
    <t>канц. товары (бумага)</t>
  </si>
  <si>
    <t>ручка</t>
  </si>
  <si>
    <t>Иные материальные запасы потребляемые в процессе оказания муниципальной услуги</t>
  </si>
  <si>
    <t>бланки билетов</t>
  </si>
  <si>
    <t>изготовление плакатов и афиш</t>
  </si>
  <si>
    <r>
      <t xml:space="preserve">Базовый норматив затрат на общехозяйственные нужды на оказание государственной (муниципальной) услуги по межпоселенческому муниципальному бюджетному учреждению культуры </t>
    </r>
    <r>
      <rPr>
        <b/>
        <sz val="11"/>
        <color rgb="FFC00000"/>
        <rFont val="Times New Roman"/>
        <family val="1"/>
        <charset val="204"/>
      </rPr>
      <t>"Культурно-досуговый центр" Ипатовского района Ставропольского края 2021 год</t>
    </r>
  </si>
  <si>
    <t>ед.изм</t>
  </si>
  <si>
    <t>на ед. услуги руб.</t>
  </si>
  <si>
    <t>кват/ч</t>
  </si>
  <si>
    <t>Прочие затраты на содержание объектов недвижимого имущества</t>
  </si>
  <si>
    <t>Г.</t>
  </si>
  <si>
    <t>Прочий персонал</t>
  </si>
  <si>
    <t>Оплата услуг прокатных компаний</t>
  </si>
  <si>
    <t>Показ кинофильмов  (591400О.99.0.ББ73АА01000;  591400О.99.0.ББ85АА01000)</t>
  </si>
  <si>
    <t>Организация и проведение мероприятий (900400О.99.0.ББ72АА00000)</t>
  </si>
  <si>
    <t>Организация деятельности клубных формирований и формирований самодеятельного народного творчества (949916О.99.0.ББ78АА0000)</t>
  </si>
  <si>
    <t>Прокат кинофильмов (5941300О.99.0.ББ74АА00000)</t>
  </si>
  <si>
    <t>Показ кинофильмов (591400О.99.0.ББ73АА01000;  591400О.99.0.ББ85АА01000)</t>
  </si>
  <si>
    <t>Организация и проведение  мероприятий (900400О.99.0.ББ72АА00000)</t>
  </si>
  <si>
    <t>Организация деятельности клубных формирований и формирований  самодеятельного народного творчества (949916О.99.0.ББ78АА0000)</t>
  </si>
  <si>
    <t>Организация и проведение культурно-массовых мероприятий  (900400О.99.0.ББ72АА00000)</t>
  </si>
  <si>
    <t>Прокат кинофильмов  (5941300О.99.0.ББ74АА00000)</t>
  </si>
  <si>
    <t>рганизация деятельности клубных формирований и формирований самодеятельного народного творчества  (949916О.99.0.ББ78АА0000)</t>
  </si>
  <si>
    <t>ПЛАТНЫЕ</t>
  </si>
  <si>
    <t xml:space="preserve">Показ кинофильмов  </t>
  </si>
  <si>
    <t>(591400О.99.0.ББ73АА01000;  591400О.99.0.ББ85АА01000)</t>
  </si>
  <si>
    <t>шт</t>
  </si>
  <si>
    <t xml:space="preserve">Организация и проведение мероприятий </t>
  </si>
  <si>
    <t>ЧЕЛ. ЧАС ВСЕГО</t>
  </si>
  <si>
    <t>Л.</t>
  </si>
  <si>
    <t xml:space="preserve">Прокат кинофильмов </t>
  </si>
  <si>
    <t>((802112О.99.0.ББ55АЕ84000; 802112О.99.0.ББ55АВ48000;  802112О.99.0.ББ55АА24000: 802112О.99.0.ББ55АБ92000)</t>
  </si>
  <si>
    <t>(наименование муниципальной услуги 2 )</t>
  </si>
  <si>
    <t>руб. на одну услуги</t>
  </si>
  <si>
    <t>руб. на одну услугу</t>
  </si>
  <si>
    <t xml:space="preserve">Показ (организация показа) спектаклей (театральных постановок)                                </t>
  </si>
  <si>
    <t xml:space="preserve">договор </t>
  </si>
  <si>
    <t>(наименование муниципальной услуги 4)</t>
  </si>
  <si>
    <t>(наименование муниципальной услуги 5)</t>
  </si>
  <si>
    <t>(наименование муниципальной услуги 6)</t>
  </si>
  <si>
    <t xml:space="preserve">Показ (организация показа) спектаклей (театральных постановок)                           </t>
  </si>
  <si>
    <t>(949916О.99.0.ББ78АА00003 )</t>
  </si>
  <si>
    <t>Прочие расходы на содержание имущества</t>
  </si>
  <si>
    <t>Организация и проведение мероприятий</t>
  </si>
  <si>
    <t>(900400О.99.0.ББ84АА00001; 900400О.99.0.ББ72АА0001)</t>
  </si>
  <si>
    <t xml:space="preserve"> </t>
  </si>
  <si>
    <t>кол-во спектаклей</t>
  </si>
  <si>
    <t>(900400О.99.0.ББ72АА00001)</t>
  </si>
  <si>
    <t>(591300О.99.0.ББ74АА00003)</t>
  </si>
  <si>
    <t>(900400О.99.0.ББ80АА00002; 900400О.99.ББ67АА00002)</t>
  </si>
  <si>
    <t>(900400О.99.0.ББ80АА00002; 900400О.99.0.ББ67АА00002)</t>
  </si>
  <si>
    <t>(900400О.99.0.ББ84АА00001;   900400О.99.0.ББ72АА00001)</t>
  </si>
  <si>
    <t>корректирующий коэффициент</t>
  </si>
  <si>
    <t>нет</t>
  </si>
  <si>
    <t>(802112О.99.0.ББ55АЕ84000; 802112О.99.0.ББ55АВ48000; 802112О.99.0.ББАА24000; 802112О.99.0.ББ55АБ92000)</t>
  </si>
  <si>
    <t>(804200О.99.0.ББ52АЗ44000)</t>
  </si>
  <si>
    <t>Показ кинофильмов</t>
  </si>
  <si>
    <t>(591400О.99.0.ББ73АА01000; 591400О.99.0.ББ85АА01000)</t>
  </si>
  <si>
    <t>Прокат кинофильмов</t>
  </si>
  <si>
    <t>Показ (организация плказа) спектаклей (театральных постновок)</t>
  </si>
  <si>
    <t>(900400О.99.0.5580АА00002; 900400О.99.0.ББ67АА00002)</t>
  </si>
  <si>
    <t>Организация деятельности клубных формированийи формирований самодеятельного народного творчества</t>
  </si>
  <si>
    <t>округа Ставропольского края № 40 - п от 22 декабря 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</si>
</sst>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_-;\-* #,##0.00_-;_-* &quot;-&quot;??_-;_-@_-"/>
    <numFmt numFmtId="164" formatCode="#,##0.0"/>
    <numFmt numFmtId="165" formatCode="#,##0.000"/>
    <numFmt numFmtId="166" formatCode="#,##0.00000"/>
    <numFmt numFmtId="167" formatCode="0.000"/>
    <numFmt numFmtId="168" formatCode="#,##0.0000"/>
    <numFmt numFmtId="169" formatCode="0.0000"/>
    <numFmt numFmtId="170" formatCode="0.0"/>
    <numFmt numFmtId="171" formatCode="0.00000"/>
    <numFmt numFmtId="172" formatCode="#,##0.000_ ;\-#,##0.000\ "/>
    <numFmt numFmtId="173" formatCode="#,##0.00_ ;\-#,##0.00\ 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theme="0"/>
      <name val="Calibri"/>
      <family val="2"/>
      <scheme val="minor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00B0F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43" fontId="41" fillId="0" borderId="0" applyFont="0" applyFill="0" applyBorder="0" applyAlignment="0" applyProtection="0"/>
  </cellStyleXfs>
  <cellXfs count="1122">
    <xf numFmtId="0" fontId="0" fillId="0" borderId="0" xfId="0"/>
    <xf numFmtId="1" fontId="6" fillId="0" borderId="1" xfId="0" applyNumberFormat="1" applyFont="1" applyBorder="1" applyAlignment="1">
      <alignment horizontal="center" wrapText="1"/>
    </xf>
    <xf numFmtId="0" fontId="0" fillId="0" borderId="0" xfId="0" applyBorder="1"/>
    <xf numFmtId="0" fontId="4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1" fontId="6" fillId="0" borderId="1" xfId="0" applyNumberFormat="1" applyFont="1" applyBorder="1" applyAlignment="1">
      <alignment wrapText="1"/>
    </xf>
    <xf numFmtId="0" fontId="9" fillId="0" borderId="0" xfId="0" applyFont="1"/>
    <xf numFmtId="0" fontId="11" fillId="2" borderId="1" xfId="1" applyFont="1" applyFill="1" applyBorder="1" applyAlignment="1">
      <alignment horizontal="center" vertical="center" wrapText="1"/>
    </xf>
    <xf numFmtId="0" fontId="11" fillId="2" borderId="8" xfId="1" applyFont="1" applyFill="1" applyBorder="1" applyAlignment="1">
      <alignment horizontal="center" vertical="center" wrapText="1"/>
    </xf>
    <xf numFmtId="0" fontId="11" fillId="2" borderId="9" xfId="1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/>
    </xf>
    <xf numFmtId="4" fontId="11" fillId="3" borderId="1" xfId="1" applyNumberFormat="1" applyFont="1" applyFill="1" applyBorder="1" applyAlignment="1">
      <alignment horizontal="center" wrapText="1"/>
    </xf>
    <xf numFmtId="3" fontId="9" fillId="3" borderId="1" xfId="1" applyNumberFormat="1" applyFont="1" applyFill="1" applyBorder="1" applyAlignment="1">
      <alignment horizontal="center" wrapText="1"/>
    </xf>
    <xf numFmtId="4" fontId="9" fillId="3" borderId="1" xfId="1" applyNumberFormat="1" applyFont="1" applyFill="1" applyBorder="1" applyAlignment="1">
      <alignment horizontal="center" wrapText="1"/>
    </xf>
    <xf numFmtId="4" fontId="9" fillId="3" borderId="1" xfId="1" applyNumberFormat="1" applyFont="1" applyFill="1" applyBorder="1" applyAlignment="1">
      <alignment horizontal="center"/>
    </xf>
    <xf numFmtId="3" fontId="9" fillId="3" borderId="1" xfId="1" applyNumberFormat="1" applyFont="1" applyFill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5" fontId="9" fillId="0" borderId="1" xfId="0" applyNumberFormat="1" applyFont="1" applyBorder="1"/>
    <xf numFmtId="4" fontId="9" fillId="0" borderId="1" xfId="0" applyNumberFormat="1" applyFont="1" applyBorder="1" applyAlignment="1">
      <alignment wrapText="1"/>
    </xf>
    <xf numFmtId="4" fontId="9" fillId="0" borderId="0" xfId="0" applyNumberFormat="1" applyFont="1"/>
    <xf numFmtId="0" fontId="9" fillId="0" borderId="0" xfId="0" applyFont="1" applyBorder="1"/>
    <xf numFmtId="4" fontId="9" fillId="0" borderId="0" xfId="0" applyNumberFormat="1" applyFont="1" applyBorder="1" applyAlignment="1">
      <alignment horizontal="center"/>
    </xf>
    <xf numFmtId="4" fontId="9" fillId="0" borderId="0" xfId="0" applyNumberFormat="1" applyFont="1" applyBorder="1"/>
    <xf numFmtId="3" fontId="9" fillId="0" borderId="0" xfId="0" applyNumberFormat="1" applyFont="1"/>
    <xf numFmtId="4" fontId="4" fillId="0" borderId="0" xfId="0" applyNumberFormat="1" applyFont="1"/>
    <xf numFmtId="0" fontId="0" fillId="0" borderId="0" xfId="0" applyFont="1"/>
    <xf numFmtId="4" fontId="0" fillId="0" borderId="0" xfId="0" applyNumberFormat="1"/>
    <xf numFmtId="2" fontId="0" fillId="0" borderId="0" xfId="0" applyNumberFormat="1"/>
    <xf numFmtId="0" fontId="4" fillId="0" borderId="0" xfId="0" applyFont="1"/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horizontal="center"/>
    </xf>
    <xf numFmtId="4" fontId="4" fillId="0" borderId="0" xfId="0" applyNumberFormat="1" applyFont="1" applyAlignment="1">
      <alignment wrapText="1"/>
    </xf>
    <xf numFmtId="3" fontId="0" fillId="0" borderId="0" xfId="0" applyNumberFormat="1"/>
    <xf numFmtId="1" fontId="15" fillId="0" borderId="11" xfId="0" applyNumberFormat="1" applyFont="1" applyFill="1" applyBorder="1" applyAlignment="1">
      <alignment horizontal="center" vertical="center" wrapText="1"/>
    </xf>
    <xf numFmtId="1" fontId="15" fillId="0" borderId="12" xfId="0" applyNumberFormat="1" applyFont="1" applyFill="1" applyBorder="1" applyAlignment="1">
      <alignment horizontal="center" vertical="center" wrapText="1"/>
    </xf>
    <xf numFmtId="1" fontId="15" fillId="0" borderId="16" xfId="0" applyNumberFormat="1" applyFont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wrapText="1"/>
    </xf>
    <xf numFmtId="0" fontId="9" fillId="0" borderId="16" xfId="0" applyFont="1" applyBorder="1"/>
    <xf numFmtId="0" fontId="16" fillId="3" borderId="17" xfId="0" applyFont="1" applyFill="1" applyBorder="1" applyAlignment="1">
      <alignment vertical="center" wrapText="1"/>
    </xf>
    <xf numFmtId="4" fontId="17" fillId="3" borderId="19" xfId="0" applyNumberFormat="1" applyFont="1" applyFill="1" applyBorder="1" applyAlignment="1">
      <alignment horizontal="center" vertical="center" wrapText="1"/>
    </xf>
    <xf numFmtId="4" fontId="17" fillId="3" borderId="20" xfId="0" applyNumberFormat="1" applyFont="1" applyFill="1" applyBorder="1" applyAlignment="1">
      <alignment horizontal="center" vertical="center" wrapText="1"/>
    </xf>
    <xf numFmtId="4" fontId="17" fillId="3" borderId="21" xfId="0" applyNumberFormat="1" applyFont="1" applyFill="1" applyBorder="1" applyAlignment="1">
      <alignment horizontal="center" vertical="center" wrapText="1"/>
    </xf>
    <xf numFmtId="4" fontId="17" fillId="3" borderId="21" xfId="0" applyNumberFormat="1" applyFont="1" applyFill="1" applyBorder="1" applyAlignment="1">
      <alignment horizontal="center" vertical="center"/>
    </xf>
    <xf numFmtId="0" fontId="4" fillId="3" borderId="0" xfId="0" applyFont="1" applyFill="1"/>
    <xf numFmtId="0" fontId="0" fillId="3" borderId="0" xfId="0" applyFill="1"/>
    <xf numFmtId="0" fontId="13" fillId="3" borderId="22" xfId="0" applyFont="1" applyFill="1" applyBorder="1" applyAlignment="1">
      <alignment vertical="center" wrapText="1"/>
    </xf>
    <xf numFmtId="4" fontId="11" fillId="3" borderId="24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4" fontId="11" fillId="3" borderId="25" xfId="0" applyNumberFormat="1" applyFont="1" applyFill="1" applyBorder="1" applyAlignment="1">
      <alignment horizontal="center" vertical="center" wrapText="1"/>
    </xf>
    <xf numFmtId="4" fontId="11" fillId="3" borderId="25" xfId="0" applyNumberFormat="1" applyFont="1" applyFill="1" applyBorder="1" applyAlignment="1">
      <alignment horizontal="center" vertical="center"/>
    </xf>
    <xf numFmtId="3" fontId="0" fillId="3" borderId="0" xfId="0" applyNumberFormat="1" applyFill="1"/>
    <xf numFmtId="0" fontId="13" fillId="3" borderId="26" xfId="0" applyFont="1" applyFill="1" applyBorder="1" applyAlignment="1">
      <alignment vertical="center" wrapText="1"/>
    </xf>
    <xf numFmtId="4" fontId="11" fillId="3" borderId="28" xfId="0" applyNumberFormat="1" applyFont="1" applyFill="1" applyBorder="1" applyAlignment="1">
      <alignment horizontal="center" vertical="center" wrapText="1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30" xfId="0" applyNumberFormat="1" applyFont="1" applyFill="1" applyBorder="1" applyAlignment="1">
      <alignment horizontal="center" vertical="center" wrapText="1"/>
    </xf>
    <xf numFmtId="4" fontId="11" fillId="3" borderId="30" xfId="0" applyNumberFormat="1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vertical="center" wrapText="1"/>
    </xf>
    <xf numFmtId="0" fontId="11" fillId="3" borderId="10" xfId="0" applyFont="1" applyFill="1" applyBorder="1" applyAlignment="1">
      <alignment vertical="center" wrapText="1"/>
    </xf>
    <xf numFmtId="4" fontId="11" fillId="3" borderId="10" xfId="0" applyNumberFormat="1" applyFont="1" applyFill="1" applyBorder="1" applyAlignment="1">
      <alignment horizontal="center" vertical="center" wrapText="1"/>
    </xf>
    <xf numFmtId="3" fontId="11" fillId="3" borderId="10" xfId="0" applyNumberFormat="1" applyFont="1" applyFill="1" applyBorder="1" applyAlignment="1">
      <alignment vertical="center" wrapText="1"/>
    </xf>
    <xf numFmtId="4" fontId="17" fillId="3" borderId="10" xfId="0" applyNumberFormat="1" applyFont="1" applyFill="1" applyBorder="1" applyAlignment="1">
      <alignment horizontal="center" vertical="center"/>
    </xf>
    <xf numFmtId="4" fontId="17" fillId="3" borderId="32" xfId="0" applyNumberFormat="1" applyFont="1" applyFill="1" applyBorder="1" applyAlignment="1">
      <alignment horizontal="center" vertical="center" wrapText="1"/>
    </xf>
    <xf numFmtId="4" fontId="0" fillId="3" borderId="0" xfId="0" applyNumberFormat="1" applyFill="1"/>
    <xf numFmtId="4" fontId="11" fillId="3" borderId="5" xfId="0" applyNumberFormat="1" applyFont="1" applyFill="1" applyBorder="1" applyAlignment="1">
      <alignment horizontal="center" vertical="center" wrapText="1"/>
    </xf>
    <xf numFmtId="4" fontId="11" fillId="3" borderId="34" xfId="0" applyNumberFormat="1" applyFont="1" applyFill="1" applyBorder="1" applyAlignment="1">
      <alignment horizontal="center" vertical="center" wrapText="1"/>
    </xf>
    <xf numFmtId="4" fontId="11" fillId="3" borderId="10" xfId="0" applyNumberFormat="1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vertical="center" wrapText="1"/>
    </xf>
    <xf numFmtId="4" fontId="11" fillId="3" borderId="19" xfId="0" applyNumberFormat="1" applyFont="1" applyFill="1" applyBorder="1" applyAlignment="1">
      <alignment horizontal="center" vertical="center" wrapText="1"/>
    </xf>
    <xf numFmtId="4" fontId="11" fillId="3" borderId="20" xfId="0" applyNumberFormat="1" applyFont="1" applyFill="1" applyBorder="1" applyAlignment="1">
      <alignment horizontal="center" vertical="center" wrapText="1"/>
    </xf>
    <xf numFmtId="4" fontId="11" fillId="3" borderId="21" xfId="0" applyNumberFormat="1" applyFont="1" applyFill="1" applyBorder="1" applyAlignment="1">
      <alignment horizontal="center" vertical="center" wrapText="1"/>
    </xf>
    <xf numFmtId="4" fontId="11" fillId="3" borderId="21" xfId="0" applyNumberFormat="1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vertical="center" wrapText="1"/>
    </xf>
    <xf numFmtId="0" fontId="11" fillId="3" borderId="35" xfId="0" applyFont="1" applyFill="1" applyBorder="1" applyAlignment="1">
      <alignment vertical="center" wrapText="1"/>
    </xf>
    <xf numFmtId="0" fontId="18" fillId="3" borderId="17" xfId="0" applyFont="1" applyFill="1" applyBorder="1" applyAlignment="1">
      <alignment vertical="center" wrapText="1"/>
    </xf>
    <xf numFmtId="4" fontId="19" fillId="3" borderId="19" xfId="0" applyNumberFormat="1" applyFont="1" applyFill="1" applyBorder="1" applyAlignment="1">
      <alignment horizontal="center" vertical="center" wrapText="1"/>
    </xf>
    <xf numFmtId="4" fontId="19" fillId="3" borderId="20" xfId="0" applyNumberFormat="1" applyFont="1" applyFill="1" applyBorder="1" applyAlignment="1">
      <alignment horizontal="center" vertical="center" wrapText="1"/>
    </xf>
    <xf numFmtId="4" fontId="19" fillId="3" borderId="21" xfId="0" applyNumberFormat="1" applyFont="1" applyFill="1" applyBorder="1" applyAlignment="1">
      <alignment horizontal="center" vertical="center" wrapText="1"/>
    </xf>
    <xf numFmtId="4" fontId="19" fillId="3" borderId="21" xfId="0" applyNumberFormat="1" applyFont="1" applyFill="1" applyBorder="1" applyAlignment="1">
      <alignment horizontal="center" vertical="center"/>
    </xf>
    <xf numFmtId="0" fontId="18" fillId="3" borderId="22" xfId="0" applyFont="1" applyFill="1" applyBorder="1" applyAlignment="1">
      <alignment vertical="center" wrapText="1"/>
    </xf>
    <xf numFmtId="4" fontId="14" fillId="3" borderId="25" xfId="0" applyNumberFormat="1" applyFont="1" applyFill="1" applyBorder="1" applyAlignment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0" fontId="18" fillId="3" borderId="26" xfId="0" applyFont="1" applyFill="1" applyBorder="1" applyAlignment="1">
      <alignment vertical="center" wrapText="1"/>
    </xf>
    <xf numFmtId="4" fontId="14" fillId="3" borderId="30" xfId="0" applyNumberFormat="1" applyFont="1" applyFill="1" applyBorder="1" applyAlignment="1">
      <alignment horizontal="center" vertical="center" wrapText="1"/>
    </xf>
    <xf numFmtId="4" fontId="14" fillId="3" borderId="29" xfId="0" applyNumberFormat="1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vertical="center" wrapText="1"/>
    </xf>
    <xf numFmtId="4" fontId="14" fillId="3" borderId="10" xfId="0" applyNumberFormat="1" applyFont="1" applyFill="1" applyBorder="1" applyAlignment="1">
      <alignment horizontal="center" vertical="center" wrapText="1"/>
    </xf>
    <xf numFmtId="2" fontId="4" fillId="3" borderId="17" xfId="0" applyNumberFormat="1" applyFont="1" applyFill="1" applyBorder="1" applyAlignment="1">
      <alignment wrapText="1"/>
    </xf>
    <xf numFmtId="4" fontId="17" fillId="3" borderId="20" xfId="0" applyNumberFormat="1" applyFont="1" applyFill="1" applyBorder="1" applyAlignment="1">
      <alignment horizontal="center" vertical="center"/>
    </xf>
    <xf numFmtId="4" fontId="4" fillId="3" borderId="0" xfId="0" applyNumberFormat="1" applyFont="1" applyFill="1"/>
    <xf numFmtId="2" fontId="4" fillId="3" borderId="22" xfId="0" applyNumberFormat="1" applyFont="1" applyFill="1" applyBorder="1" applyAlignment="1">
      <alignment wrapText="1"/>
    </xf>
    <xf numFmtId="4" fontId="11" fillId="3" borderId="1" xfId="0" applyNumberFormat="1" applyFont="1" applyFill="1" applyBorder="1" applyAlignment="1">
      <alignment horizontal="center" vertical="center"/>
    </xf>
    <xf numFmtId="2" fontId="4" fillId="3" borderId="26" xfId="0" applyNumberFormat="1" applyFont="1" applyFill="1" applyBorder="1" applyAlignment="1">
      <alignment wrapText="1"/>
    </xf>
    <xf numFmtId="4" fontId="11" fillId="3" borderId="29" xfId="0" applyNumberFormat="1" applyFont="1" applyFill="1" applyBorder="1" applyAlignment="1">
      <alignment horizontal="center" vertical="center"/>
    </xf>
    <xf numFmtId="2" fontId="4" fillId="3" borderId="10" xfId="0" applyNumberFormat="1" applyFont="1" applyFill="1" applyBorder="1" applyAlignment="1">
      <alignment wrapText="1"/>
    </xf>
    <xf numFmtId="0" fontId="20" fillId="3" borderId="17" xfId="0" applyFont="1" applyFill="1" applyBorder="1" applyAlignment="1">
      <alignment wrapText="1"/>
    </xf>
    <xf numFmtId="0" fontId="4" fillId="3" borderId="22" xfId="0" applyFont="1" applyFill="1" applyBorder="1" applyAlignment="1">
      <alignment wrapText="1"/>
    </xf>
    <xf numFmtId="0" fontId="4" fillId="3" borderId="26" xfId="0" applyFont="1" applyFill="1" applyBorder="1" applyAlignment="1">
      <alignment wrapText="1"/>
    </xf>
    <xf numFmtId="0" fontId="4" fillId="3" borderId="10" xfId="0" applyFont="1" applyFill="1" applyBorder="1" applyAlignment="1">
      <alignment wrapText="1"/>
    </xf>
    <xf numFmtId="0" fontId="11" fillId="3" borderId="10" xfId="0" applyFont="1" applyFill="1" applyBorder="1" applyAlignment="1">
      <alignment horizontal="center" vertical="center" wrapText="1"/>
    </xf>
    <xf numFmtId="3" fontId="11" fillId="3" borderId="10" xfId="0" applyNumberFormat="1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wrapText="1"/>
    </xf>
    <xf numFmtId="0" fontId="9" fillId="3" borderId="11" xfId="0" applyFont="1" applyFill="1" applyBorder="1"/>
    <xf numFmtId="0" fontId="9" fillId="3" borderId="12" xfId="0" applyFont="1" applyFill="1" applyBorder="1"/>
    <xf numFmtId="0" fontId="11" fillId="3" borderId="12" xfId="0" applyFont="1" applyFill="1" applyBorder="1"/>
    <xf numFmtId="4" fontId="11" fillId="3" borderId="12" xfId="0" applyNumberFormat="1" applyFont="1" applyFill="1" applyBorder="1" applyAlignment="1">
      <alignment horizontal="center" vertical="center"/>
    </xf>
    <xf numFmtId="4" fontId="11" fillId="3" borderId="16" xfId="0" applyNumberFormat="1" applyFont="1" applyFill="1" applyBorder="1" applyAlignment="1">
      <alignment horizontal="center" vertical="center"/>
    </xf>
    <xf numFmtId="4" fontId="11" fillId="3" borderId="5" xfId="0" applyNumberFormat="1" applyFont="1" applyFill="1" applyBorder="1" applyAlignment="1">
      <alignment horizontal="center" vertical="center"/>
    </xf>
    <xf numFmtId="0" fontId="13" fillId="3" borderId="0" xfId="0" applyFont="1" applyFill="1"/>
    <xf numFmtId="4" fontId="13" fillId="3" borderId="0" xfId="0" applyNumberFormat="1" applyFont="1" applyFill="1"/>
    <xf numFmtId="4" fontId="13" fillId="3" borderId="32" xfId="0" applyNumberFormat="1" applyFont="1" applyFill="1" applyBorder="1"/>
    <xf numFmtId="4" fontId="13" fillId="3" borderId="20" xfId="0" applyNumberFormat="1" applyFont="1" applyFill="1" applyBorder="1"/>
    <xf numFmtId="4" fontId="11" fillId="3" borderId="20" xfId="0" applyNumberFormat="1" applyFont="1" applyFill="1" applyBorder="1"/>
    <xf numFmtId="4" fontId="11" fillId="3" borderId="21" xfId="0" applyNumberFormat="1" applyFont="1" applyFill="1" applyBorder="1"/>
    <xf numFmtId="0" fontId="21" fillId="3" borderId="0" xfId="0" applyFont="1" applyFill="1"/>
    <xf numFmtId="0" fontId="22" fillId="3" borderId="0" xfId="0" applyFont="1" applyFill="1"/>
    <xf numFmtId="2" fontId="4" fillId="3" borderId="33" xfId="0" applyNumberFormat="1" applyFont="1" applyFill="1" applyBorder="1" applyAlignment="1">
      <alignment wrapText="1"/>
    </xf>
    <xf numFmtId="0" fontId="13" fillId="3" borderId="34" xfId="0" applyFont="1" applyFill="1" applyBorder="1"/>
    <xf numFmtId="0" fontId="13" fillId="3" borderId="29" xfId="0" applyFont="1" applyFill="1" applyBorder="1"/>
    <xf numFmtId="4" fontId="13" fillId="3" borderId="34" xfId="0" applyNumberFormat="1" applyFont="1" applyFill="1" applyBorder="1"/>
    <xf numFmtId="4" fontId="13" fillId="3" borderId="29" xfId="0" applyNumberFormat="1" applyFont="1" applyFill="1" applyBorder="1"/>
    <xf numFmtId="4" fontId="11" fillId="3" borderId="29" xfId="0" applyNumberFormat="1" applyFont="1" applyFill="1" applyBorder="1"/>
    <xf numFmtId="4" fontId="11" fillId="3" borderId="30" xfId="0" applyNumberFormat="1" applyFont="1" applyFill="1" applyBorder="1"/>
    <xf numFmtId="4" fontId="23" fillId="3" borderId="0" xfId="0" applyNumberFormat="1" applyFont="1" applyFill="1"/>
    <xf numFmtId="4" fontId="11" fillId="3" borderId="12" xfId="0" applyNumberFormat="1" applyFont="1" applyFill="1" applyBorder="1"/>
    <xf numFmtId="4" fontId="24" fillId="3" borderId="16" xfId="0" applyNumberFormat="1" applyFont="1" applyFill="1" applyBorder="1"/>
    <xf numFmtId="0" fontId="23" fillId="3" borderId="0" xfId="0" applyFont="1" applyFill="1"/>
    <xf numFmtId="4" fontId="22" fillId="3" borderId="0" xfId="0" applyNumberFormat="1" applyFont="1" applyFill="1"/>
    <xf numFmtId="0" fontId="16" fillId="3" borderId="19" xfId="0" applyFont="1" applyFill="1" applyBorder="1" applyAlignment="1">
      <alignment vertical="center" wrapText="1"/>
    </xf>
    <xf numFmtId="0" fontId="13" fillId="3" borderId="24" xfId="0" applyFont="1" applyFill="1" applyBorder="1" applyAlignment="1">
      <alignment vertical="center" wrapText="1"/>
    </xf>
    <xf numFmtId="0" fontId="13" fillId="3" borderId="28" xfId="0" applyFont="1" applyFill="1" applyBorder="1" applyAlignment="1">
      <alignment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11" fillId="3" borderId="5" xfId="1" applyFont="1" applyFill="1" applyBorder="1" applyAlignment="1">
      <alignment horizontal="center" vertical="center" wrapText="1"/>
    </xf>
    <xf numFmtId="0" fontId="11" fillId="3" borderId="9" xfId="1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2" fontId="11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/>
    </xf>
    <xf numFmtId="2" fontId="14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/>
    </xf>
    <xf numFmtId="2" fontId="4" fillId="3" borderId="1" xfId="0" applyNumberFormat="1" applyFont="1" applyFill="1" applyBorder="1" applyAlignment="1">
      <alignment horizontal="center"/>
    </xf>
    <xf numFmtId="2" fontId="4" fillId="3" borderId="7" xfId="0" applyNumberFormat="1" applyFont="1" applyFill="1" applyBorder="1" applyAlignment="1">
      <alignment horizontal="center"/>
    </xf>
    <xf numFmtId="2" fontId="4" fillId="3" borderId="0" xfId="0" applyNumberFormat="1" applyFont="1" applyFill="1" applyBorder="1" applyAlignment="1">
      <alignment horizontal="center"/>
    </xf>
    <xf numFmtId="4" fontId="9" fillId="3" borderId="1" xfId="0" applyNumberFormat="1" applyFont="1" applyFill="1" applyBorder="1"/>
    <xf numFmtId="0" fontId="11" fillId="3" borderId="1" xfId="0" applyFont="1" applyFill="1" applyBorder="1" applyAlignment="1">
      <alignment horizontal="center" vertical="center" wrapText="1"/>
    </xf>
    <xf numFmtId="0" fontId="27" fillId="0" borderId="0" xfId="0" applyFont="1"/>
    <xf numFmtId="0" fontId="27" fillId="2" borderId="1" xfId="1" applyFont="1" applyFill="1" applyBorder="1" applyAlignment="1">
      <alignment horizontal="center" vertical="center" wrapText="1"/>
    </xf>
    <xf numFmtId="0" fontId="27" fillId="2" borderId="8" xfId="1" applyFont="1" applyFill="1" applyBorder="1" applyAlignment="1">
      <alignment horizontal="center" vertical="center" wrapText="1"/>
    </xf>
    <xf numFmtId="0" fontId="27" fillId="2" borderId="9" xfId="1" applyFont="1" applyFill="1" applyBorder="1" applyAlignment="1">
      <alignment horizontal="center" vertical="center" wrapText="1"/>
    </xf>
    <xf numFmtId="0" fontId="27" fillId="2" borderId="8" xfId="0" applyFont="1" applyFill="1" applyBorder="1" applyAlignment="1">
      <alignment horizontal="center" vertical="center" wrapText="1"/>
    </xf>
    <xf numFmtId="0" fontId="27" fillId="0" borderId="1" xfId="1" applyFont="1" applyBorder="1" applyAlignment="1">
      <alignment horizontal="center"/>
    </xf>
    <xf numFmtId="4" fontId="27" fillId="3" borderId="1" xfId="1" applyNumberFormat="1" applyFont="1" applyFill="1" applyBorder="1" applyAlignment="1">
      <alignment horizontal="center" wrapText="1"/>
    </xf>
    <xf numFmtId="3" fontId="27" fillId="3" borderId="1" xfId="1" applyNumberFormat="1" applyFont="1" applyFill="1" applyBorder="1" applyAlignment="1">
      <alignment horizontal="center" wrapText="1"/>
    </xf>
    <xf numFmtId="4" fontId="27" fillId="3" borderId="1" xfId="1" applyNumberFormat="1" applyFont="1" applyFill="1" applyBorder="1" applyAlignment="1">
      <alignment horizontal="center"/>
    </xf>
    <xf numFmtId="3" fontId="27" fillId="3" borderId="1" xfId="1" applyNumberFormat="1" applyFont="1" applyFill="1" applyBorder="1" applyAlignment="1">
      <alignment horizontal="center"/>
    </xf>
    <xf numFmtId="164" fontId="27" fillId="0" borderId="1" xfId="0" applyNumberFormat="1" applyFont="1" applyBorder="1" applyAlignment="1">
      <alignment horizontal="center"/>
    </xf>
    <xf numFmtId="165" fontId="27" fillId="0" borderId="1" xfId="0" applyNumberFormat="1" applyFont="1" applyBorder="1"/>
    <xf numFmtId="4" fontId="27" fillId="0" borderId="1" xfId="0" applyNumberFormat="1" applyFont="1" applyBorder="1" applyAlignment="1">
      <alignment wrapText="1"/>
    </xf>
    <xf numFmtId="4" fontId="27" fillId="0" borderId="0" xfId="0" applyNumberFormat="1" applyFont="1"/>
    <xf numFmtId="3" fontId="27" fillId="3" borderId="0" xfId="1" applyNumberFormat="1" applyFont="1" applyFill="1" applyBorder="1" applyAlignment="1">
      <alignment horizontal="center"/>
    </xf>
    <xf numFmtId="4" fontId="27" fillId="3" borderId="0" xfId="1" applyNumberFormat="1" applyFont="1" applyFill="1" applyBorder="1" applyAlignment="1">
      <alignment horizontal="center"/>
    </xf>
    <xf numFmtId="164" fontId="27" fillId="0" borderId="0" xfId="0" applyNumberFormat="1" applyFont="1" applyBorder="1" applyAlignment="1">
      <alignment horizontal="center"/>
    </xf>
    <xf numFmtId="165" fontId="27" fillId="0" borderId="0" xfId="0" applyNumberFormat="1" applyFont="1" applyBorder="1"/>
    <xf numFmtId="4" fontId="27" fillId="0" borderId="0" xfId="0" applyNumberFormat="1" applyFont="1" applyBorder="1" applyAlignment="1">
      <alignment wrapText="1"/>
    </xf>
    <xf numFmtId="0" fontId="5" fillId="0" borderId="0" xfId="0" applyFont="1"/>
    <xf numFmtId="0" fontId="11" fillId="3" borderId="1" xfId="0" applyFont="1" applyFill="1" applyBorder="1"/>
    <xf numFmtId="4" fontId="11" fillId="3" borderId="1" xfId="0" applyNumberFormat="1" applyFont="1" applyFill="1" applyBorder="1"/>
    <xf numFmtId="0" fontId="16" fillId="3" borderId="31" xfId="0" applyFont="1" applyFill="1" applyBorder="1" applyAlignment="1">
      <alignment vertical="center" wrapText="1"/>
    </xf>
    <xf numFmtId="0" fontId="4" fillId="3" borderId="45" xfId="0" applyFont="1" applyFill="1" applyBorder="1"/>
    <xf numFmtId="0" fontId="4" fillId="3" borderId="43" xfId="0" applyFont="1" applyFill="1" applyBorder="1"/>
    <xf numFmtId="0" fontId="13" fillId="3" borderId="43" xfId="0" applyFont="1" applyFill="1" applyBorder="1"/>
    <xf numFmtId="4" fontId="11" fillId="3" borderId="15" xfId="0" applyNumberFormat="1" applyFont="1" applyFill="1" applyBorder="1"/>
    <xf numFmtId="0" fontId="13" fillId="0" borderId="4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43" xfId="0" applyFont="1" applyFill="1" applyBorder="1" applyAlignment="1">
      <alignment horizontal="center" vertical="center" wrapText="1"/>
    </xf>
    <xf numFmtId="4" fontId="11" fillId="3" borderId="35" xfId="0" applyNumberFormat="1" applyFont="1" applyFill="1" applyBorder="1" applyAlignment="1">
      <alignment horizontal="center" vertical="center"/>
    </xf>
    <xf numFmtId="4" fontId="11" fillId="3" borderId="14" xfId="0" applyNumberFormat="1" applyFont="1" applyFill="1" applyBorder="1"/>
    <xf numFmtId="4" fontId="17" fillId="3" borderId="47" xfId="0" applyNumberFormat="1" applyFont="1" applyFill="1" applyBorder="1" applyAlignment="1">
      <alignment horizontal="center" vertical="center" wrapText="1"/>
    </xf>
    <xf numFmtId="4" fontId="11" fillId="3" borderId="3" xfId="0" applyNumberFormat="1" applyFont="1" applyFill="1" applyBorder="1" applyAlignment="1">
      <alignment horizontal="center" vertical="center" wrapText="1"/>
    </xf>
    <xf numFmtId="4" fontId="11" fillId="3" borderId="48" xfId="0" applyNumberFormat="1" applyFont="1" applyFill="1" applyBorder="1" applyAlignment="1">
      <alignment horizontal="center" vertical="center" wrapText="1"/>
    </xf>
    <xf numFmtId="4" fontId="11" fillId="3" borderId="49" xfId="0" applyNumberFormat="1" applyFont="1" applyFill="1" applyBorder="1" applyAlignment="1">
      <alignment horizontal="center" vertical="center" wrapText="1"/>
    </xf>
    <xf numFmtId="4" fontId="14" fillId="3" borderId="49" xfId="0" applyNumberFormat="1" applyFont="1" applyFill="1" applyBorder="1" applyAlignment="1">
      <alignment horizontal="center" vertical="center" wrapText="1"/>
    </xf>
    <xf numFmtId="4" fontId="17" fillId="3" borderId="47" xfId="0" applyNumberFormat="1" applyFont="1" applyFill="1" applyBorder="1" applyAlignment="1">
      <alignment horizontal="center" vertical="center"/>
    </xf>
    <xf numFmtId="4" fontId="11" fillId="3" borderId="49" xfId="0" applyNumberFormat="1" applyFont="1" applyFill="1" applyBorder="1" applyAlignment="1">
      <alignment horizontal="center" vertical="center"/>
    </xf>
    <xf numFmtId="4" fontId="11" fillId="3" borderId="48" xfId="0" applyNumberFormat="1" applyFont="1" applyFill="1" applyBorder="1"/>
    <xf numFmtId="4" fontId="11" fillId="3" borderId="35" xfId="0" applyNumberFormat="1" applyFont="1" applyFill="1" applyBorder="1" applyAlignment="1">
      <alignment horizontal="center" vertical="center" wrapText="1"/>
    </xf>
    <xf numFmtId="0" fontId="13" fillId="3" borderId="46" xfId="0" applyFont="1" applyFill="1" applyBorder="1"/>
    <xf numFmtId="1" fontId="15" fillId="0" borderId="38" xfId="0" applyNumberFormat="1" applyFont="1" applyFill="1" applyBorder="1" applyAlignment="1">
      <alignment horizontal="center" vertical="center" wrapText="1"/>
    </xf>
    <xf numFmtId="1" fontId="15" fillId="0" borderId="50" xfId="0" applyNumberFormat="1" applyFont="1" applyFill="1" applyBorder="1" applyAlignment="1">
      <alignment horizontal="center" vertical="center" wrapText="1"/>
    </xf>
    <xf numFmtId="1" fontId="15" fillId="0" borderId="51" xfId="0" applyNumberFormat="1" applyFont="1" applyBorder="1" applyAlignment="1">
      <alignment horizontal="center" vertical="center"/>
    </xf>
    <xf numFmtId="0" fontId="4" fillId="0" borderId="14" xfId="0" applyFont="1" applyBorder="1"/>
    <xf numFmtId="0" fontId="4" fillId="3" borderId="36" xfId="0" applyFont="1" applyFill="1" applyBorder="1"/>
    <xf numFmtId="0" fontId="4" fillId="3" borderId="0" xfId="0" applyFont="1" applyFill="1" applyBorder="1"/>
    <xf numFmtId="0" fontId="4" fillId="3" borderId="37" xfId="0" applyFont="1" applyFill="1" applyBorder="1"/>
    <xf numFmtId="0" fontId="13" fillId="3" borderId="54" xfId="0" applyFont="1" applyFill="1" applyBorder="1" applyAlignment="1">
      <alignment vertical="center" wrapText="1"/>
    </xf>
    <xf numFmtId="4" fontId="11" fillId="3" borderId="55" xfId="0" applyNumberFormat="1" applyFont="1" applyFill="1" applyBorder="1" applyAlignment="1">
      <alignment horizontal="center" vertical="center" wrapText="1"/>
    </xf>
    <xf numFmtId="0" fontId="18" fillId="3" borderId="54" xfId="0" applyFont="1" applyFill="1" applyBorder="1" applyAlignment="1">
      <alignment vertical="center" wrapText="1"/>
    </xf>
    <xf numFmtId="4" fontId="14" fillId="3" borderId="55" xfId="0" applyNumberFormat="1" applyFont="1" applyFill="1" applyBorder="1" applyAlignment="1">
      <alignment horizontal="center" vertical="center" wrapText="1"/>
    </xf>
    <xf numFmtId="4" fontId="11" fillId="3" borderId="57" xfId="0" applyNumberFormat="1" applyFont="1" applyFill="1" applyBorder="1" applyAlignment="1">
      <alignment horizontal="center" vertical="center"/>
    </xf>
    <xf numFmtId="4" fontId="11" fillId="3" borderId="58" xfId="0" applyNumberFormat="1" applyFont="1" applyFill="1" applyBorder="1" applyAlignment="1">
      <alignment horizontal="center" vertical="center"/>
    </xf>
    <xf numFmtId="0" fontId="4" fillId="3" borderId="50" xfId="0" applyFont="1" applyFill="1" applyBorder="1" applyAlignment="1">
      <alignment wrapText="1"/>
    </xf>
    <xf numFmtId="0" fontId="11" fillId="3" borderId="38" xfId="0" applyFont="1" applyFill="1" applyBorder="1" applyAlignment="1">
      <alignment horizontal="center" vertical="center" wrapText="1"/>
    </xf>
    <xf numFmtId="3" fontId="11" fillId="3" borderId="38" xfId="0" applyNumberFormat="1" applyFont="1" applyFill="1" applyBorder="1" applyAlignment="1">
      <alignment horizontal="center" vertical="center" wrapText="1"/>
    </xf>
    <xf numFmtId="4" fontId="11" fillId="3" borderId="60" xfId="0" applyNumberFormat="1" applyFont="1" applyFill="1" applyBorder="1" applyAlignment="1">
      <alignment horizontal="center" vertical="center"/>
    </xf>
    <xf numFmtId="4" fontId="11" fillId="3" borderId="61" xfId="0" applyNumberFormat="1" applyFont="1" applyFill="1" applyBorder="1" applyAlignment="1">
      <alignment horizontal="center" vertical="center" wrapText="1"/>
    </xf>
    <xf numFmtId="4" fontId="11" fillId="3" borderId="51" xfId="0" applyNumberFormat="1" applyFont="1" applyFill="1" applyBorder="1" applyAlignment="1">
      <alignment horizontal="center" vertical="center"/>
    </xf>
    <xf numFmtId="0" fontId="4" fillId="3" borderId="56" xfId="0" applyFont="1" applyFill="1" applyBorder="1" applyAlignment="1">
      <alignment wrapText="1"/>
    </xf>
    <xf numFmtId="0" fontId="11" fillId="3" borderId="39" xfId="0" applyFont="1" applyFill="1" applyBorder="1" applyAlignment="1">
      <alignment horizontal="center" vertical="center" wrapText="1"/>
    </xf>
    <xf numFmtId="3" fontId="11" fillId="3" borderId="39" xfId="0" applyNumberFormat="1" applyFont="1" applyFill="1" applyBorder="1" applyAlignment="1">
      <alignment horizontal="center" vertical="center" wrapText="1"/>
    </xf>
    <xf numFmtId="4" fontId="11" fillId="3" borderId="59" xfId="0" applyNumberFormat="1" applyFont="1" applyFill="1" applyBorder="1" applyAlignment="1">
      <alignment horizontal="center" vertical="center" wrapText="1"/>
    </xf>
    <xf numFmtId="0" fontId="9" fillId="3" borderId="54" xfId="0" applyFont="1" applyFill="1" applyBorder="1"/>
    <xf numFmtId="0" fontId="9" fillId="3" borderId="10" xfId="0" applyFont="1" applyFill="1" applyBorder="1"/>
    <xf numFmtId="0" fontId="11" fillId="3" borderId="10" xfId="0" applyFont="1" applyFill="1" applyBorder="1"/>
    <xf numFmtId="4" fontId="11" fillId="3" borderId="55" xfId="0" applyNumberFormat="1" applyFont="1" applyFill="1" applyBorder="1" applyAlignment="1">
      <alignment horizontal="center" vertical="center"/>
    </xf>
    <xf numFmtId="0" fontId="11" fillId="3" borderId="35" xfId="0" applyFont="1" applyFill="1" applyBorder="1"/>
    <xf numFmtId="0" fontId="4" fillId="3" borderId="62" xfId="0" applyFont="1" applyFill="1" applyBorder="1" applyAlignment="1">
      <alignment wrapText="1"/>
    </xf>
    <xf numFmtId="0" fontId="13" fillId="3" borderId="9" xfId="0" applyFont="1" applyFill="1" applyBorder="1"/>
    <xf numFmtId="0" fontId="13" fillId="3" borderId="8" xfId="0" applyFont="1" applyFill="1" applyBorder="1"/>
    <xf numFmtId="4" fontId="11" fillId="3" borderId="52" xfId="0" applyNumberFormat="1" applyFont="1" applyFill="1" applyBorder="1"/>
    <xf numFmtId="4" fontId="13" fillId="3" borderId="9" xfId="0" applyNumberFormat="1" applyFont="1" applyFill="1" applyBorder="1"/>
    <xf numFmtId="4" fontId="13" fillId="3" borderId="8" xfId="0" applyNumberFormat="1" applyFont="1" applyFill="1" applyBorder="1"/>
    <xf numFmtId="4" fontId="11" fillId="3" borderId="8" xfId="0" applyNumberFormat="1" applyFont="1" applyFill="1" applyBorder="1"/>
    <xf numFmtId="4" fontId="11" fillId="3" borderId="53" xfId="0" applyNumberFormat="1" applyFont="1" applyFill="1" applyBorder="1"/>
    <xf numFmtId="0" fontId="4" fillId="3" borderId="14" xfId="0" applyFont="1" applyFill="1" applyBorder="1"/>
    <xf numFmtId="0" fontId="13" fillId="3" borderId="14" xfId="0" applyFont="1" applyFill="1" applyBorder="1"/>
    <xf numFmtId="4" fontId="13" fillId="3" borderId="14" xfId="0" applyNumberFormat="1" applyFont="1" applyFill="1" applyBorder="1"/>
    <xf numFmtId="4" fontId="11" fillId="3" borderId="43" xfId="0" applyNumberFormat="1" applyFont="1" applyFill="1" applyBorder="1"/>
    <xf numFmtId="4" fontId="13" fillId="3" borderId="23" xfId="0" applyNumberFormat="1" applyFont="1" applyFill="1" applyBorder="1"/>
    <xf numFmtId="0" fontId="27" fillId="3" borderId="1" xfId="1" applyFont="1" applyFill="1" applyBorder="1" applyAlignment="1">
      <alignment horizontal="center"/>
    </xf>
    <xf numFmtId="164" fontId="27" fillId="3" borderId="0" xfId="0" applyNumberFormat="1" applyFont="1" applyFill="1" applyBorder="1" applyAlignment="1">
      <alignment horizontal="center"/>
    </xf>
    <xf numFmtId="165" fontId="27" fillId="3" borderId="0" xfId="0" applyNumberFormat="1" applyFont="1" applyFill="1" applyBorder="1"/>
    <xf numFmtId="4" fontId="27" fillId="3" borderId="0" xfId="0" applyNumberFormat="1" applyFont="1" applyFill="1" applyBorder="1" applyAlignment="1">
      <alignment wrapText="1"/>
    </xf>
    <xf numFmtId="4" fontId="27" fillId="3" borderId="0" xfId="0" applyNumberFormat="1" applyFont="1" applyFill="1"/>
    <xf numFmtId="0" fontId="27" fillId="3" borderId="0" xfId="0" applyFont="1" applyFill="1"/>
    <xf numFmtId="0" fontId="27" fillId="3" borderId="1" xfId="0" applyFont="1" applyFill="1" applyBorder="1"/>
    <xf numFmtId="4" fontId="27" fillId="3" borderId="1" xfId="0" applyNumberFormat="1" applyFont="1" applyFill="1" applyBorder="1" applyAlignment="1">
      <alignment horizontal="center" wrapText="1"/>
    </xf>
    <xf numFmtId="4" fontId="27" fillId="3" borderId="1" xfId="0" applyNumberFormat="1" applyFont="1" applyFill="1" applyBorder="1" applyAlignment="1">
      <alignment horizontal="center"/>
    </xf>
    <xf numFmtId="3" fontId="27" fillId="3" borderId="1" xfId="0" applyNumberFormat="1" applyFont="1" applyFill="1" applyBorder="1" applyAlignment="1">
      <alignment horizontal="center"/>
    </xf>
    <xf numFmtId="4" fontId="27" fillId="3" borderId="0" xfId="0" applyNumberFormat="1" applyFont="1" applyFill="1" applyBorder="1" applyAlignment="1">
      <alignment horizontal="center"/>
    </xf>
    <xf numFmtId="4" fontId="27" fillId="3" borderId="0" xfId="0" applyNumberFormat="1" applyFont="1" applyFill="1" applyBorder="1"/>
    <xf numFmtId="0" fontId="27" fillId="3" borderId="0" xfId="0" applyFont="1" applyFill="1" applyBorder="1"/>
    <xf numFmtId="0" fontId="27" fillId="3" borderId="1" xfId="1" applyFont="1" applyFill="1" applyBorder="1" applyAlignment="1">
      <alignment horizontal="center" vertical="center" wrapText="1"/>
    </xf>
    <xf numFmtId="0" fontId="27" fillId="3" borderId="8" xfId="1" applyFont="1" applyFill="1" applyBorder="1" applyAlignment="1">
      <alignment horizontal="center" vertical="center" wrapText="1"/>
    </xf>
    <xf numFmtId="0" fontId="27" fillId="3" borderId="9" xfId="1" applyFont="1" applyFill="1" applyBorder="1" applyAlignment="1">
      <alignment horizontal="center" vertical="center" wrapText="1"/>
    </xf>
    <xf numFmtId="0" fontId="27" fillId="3" borderId="8" xfId="0" applyFont="1" applyFill="1" applyBorder="1" applyAlignment="1">
      <alignment horizontal="center" vertical="center" wrapText="1"/>
    </xf>
    <xf numFmtId="3" fontId="27" fillId="3" borderId="0" xfId="0" applyNumberFormat="1" applyFont="1" applyFill="1"/>
    <xf numFmtId="4" fontId="5" fillId="3" borderId="1" xfId="0" applyNumberFormat="1" applyFont="1" applyFill="1" applyBorder="1"/>
    <xf numFmtId="4" fontId="5" fillId="3" borderId="0" xfId="0" applyNumberFormat="1" applyFont="1" applyFill="1"/>
    <xf numFmtId="0" fontId="5" fillId="3" borderId="0" xfId="0" applyFont="1" applyFill="1"/>
    <xf numFmtId="0" fontId="5" fillId="3" borderId="0" xfId="0" applyFont="1" applyFill="1" applyBorder="1"/>
    <xf numFmtId="4" fontId="5" fillId="3" borderId="0" xfId="0" applyNumberFormat="1" applyFont="1" applyFill="1" applyBorder="1"/>
    <xf numFmtId="0" fontId="5" fillId="3" borderId="1" xfId="0" applyFont="1" applyFill="1" applyBorder="1"/>
    <xf numFmtId="0" fontId="27" fillId="3" borderId="1" xfId="0" applyFont="1" applyFill="1" applyBorder="1" applyAlignment="1">
      <alignment horizontal="center"/>
    </xf>
    <xf numFmtId="0" fontId="11" fillId="0" borderId="12" xfId="1" applyFont="1" applyFill="1" applyBorder="1" applyAlignment="1">
      <alignment horizontal="center" vertical="center" wrapText="1"/>
    </xf>
    <xf numFmtId="0" fontId="11" fillId="0" borderId="13" xfId="1" applyFont="1" applyFill="1" applyBorder="1" applyAlignment="1">
      <alignment horizontal="center" vertical="center" wrapText="1"/>
    </xf>
    <xf numFmtId="0" fontId="11" fillId="0" borderId="43" xfId="1" applyFont="1" applyFill="1" applyBorder="1" applyAlignment="1">
      <alignment horizontal="center" vertical="center" wrapText="1"/>
    </xf>
    <xf numFmtId="0" fontId="11" fillId="0" borderId="16" xfId="1" applyFont="1" applyFill="1" applyBorder="1" applyAlignment="1">
      <alignment horizontal="center" vertical="center" wrapText="1"/>
    </xf>
    <xf numFmtId="4" fontId="11" fillId="3" borderId="10" xfId="0" applyNumberFormat="1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wrapText="1"/>
    </xf>
    <xf numFmtId="4" fontId="11" fillId="3" borderId="23" xfId="0" applyNumberFormat="1" applyFont="1" applyFill="1" applyBorder="1" applyAlignment="1">
      <alignment horizontal="center" vertical="center" wrapText="1"/>
    </xf>
    <xf numFmtId="4" fontId="11" fillId="3" borderId="43" xfId="0" applyNumberFormat="1" applyFont="1" applyFill="1" applyBorder="1" applyAlignment="1">
      <alignment horizontal="center" vertical="center" wrapText="1"/>
    </xf>
    <xf numFmtId="4" fontId="14" fillId="3" borderId="43" xfId="0" applyNumberFormat="1" applyFont="1" applyFill="1" applyBorder="1" applyAlignment="1">
      <alignment horizontal="center" vertical="center" wrapText="1"/>
    </xf>
    <xf numFmtId="0" fontId="27" fillId="3" borderId="8" xfId="1" applyFont="1" applyFill="1" applyBorder="1" applyAlignment="1">
      <alignment horizontal="center" vertical="center" wrapText="1"/>
    </xf>
    <xf numFmtId="0" fontId="27" fillId="2" borderId="8" xfId="1" applyFont="1" applyFill="1" applyBorder="1" applyAlignment="1">
      <alignment horizontal="center" vertical="center" wrapText="1"/>
    </xf>
    <xf numFmtId="4" fontId="5" fillId="0" borderId="0" xfId="0" applyNumberFormat="1" applyFont="1"/>
    <xf numFmtId="3" fontId="5" fillId="0" borderId="0" xfId="0" applyNumberFormat="1" applyFont="1"/>
    <xf numFmtId="4" fontId="5" fillId="4" borderId="0" xfId="0" applyNumberFormat="1" applyFont="1" applyFill="1"/>
    <xf numFmtId="0" fontId="5" fillId="4" borderId="0" xfId="0" applyFont="1" applyFill="1"/>
    <xf numFmtId="4" fontId="27" fillId="0" borderId="0" xfId="0" applyNumberFormat="1" applyFont="1" applyAlignment="1">
      <alignment horizontal="center" wrapText="1"/>
    </xf>
    <xf numFmtId="4" fontId="27" fillId="0" borderId="0" xfId="0" applyNumberFormat="1" applyFont="1" applyAlignment="1">
      <alignment wrapText="1"/>
    </xf>
    <xf numFmtId="4" fontId="27" fillId="3" borderId="1" xfId="0" applyNumberFormat="1" applyFont="1" applyFill="1" applyBorder="1" applyAlignment="1">
      <alignment wrapText="1"/>
    </xf>
    <xf numFmtId="3" fontId="27" fillId="3" borderId="1" xfId="0" applyNumberFormat="1" applyFont="1" applyFill="1" applyBorder="1" applyAlignment="1">
      <alignment wrapText="1"/>
    </xf>
    <xf numFmtId="165" fontId="27" fillId="0" borderId="1" xfId="0" applyNumberFormat="1" applyFont="1" applyBorder="1" applyAlignment="1">
      <alignment wrapText="1"/>
    </xf>
    <xf numFmtId="4" fontId="11" fillId="3" borderId="10" xfId="0" applyNumberFormat="1" applyFont="1" applyFill="1" applyBorder="1" applyAlignment="1">
      <alignment horizontal="center" vertical="center" wrapText="1"/>
    </xf>
    <xf numFmtId="4" fontId="11" fillId="3" borderId="38" xfId="0" applyNumberFormat="1" applyFont="1" applyFill="1" applyBorder="1" applyAlignment="1">
      <alignment horizontal="center" vertical="center" wrapText="1"/>
    </xf>
    <xf numFmtId="4" fontId="11" fillId="3" borderId="39" xfId="0" applyNumberFormat="1" applyFont="1" applyFill="1" applyBorder="1" applyAlignment="1">
      <alignment horizontal="center" vertical="center" wrapText="1"/>
    </xf>
    <xf numFmtId="4" fontId="11" fillId="3" borderId="38" xfId="0" applyNumberFormat="1" applyFont="1" applyFill="1" applyBorder="1" applyAlignment="1">
      <alignment horizontal="center" vertical="center"/>
    </xf>
    <xf numFmtId="4" fontId="11" fillId="3" borderId="10" xfId="0" applyNumberFormat="1" applyFont="1" applyFill="1" applyBorder="1" applyAlignment="1">
      <alignment horizontal="center" vertical="center"/>
    </xf>
    <xf numFmtId="4" fontId="11" fillId="3" borderId="23" xfId="0" applyNumberFormat="1" applyFont="1" applyFill="1" applyBorder="1" applyAlignment="1">
      <alignment horizontal="center" vertical="center"/>
    </xf>
    <xf numFmtId="4" fontId="11" fillId="3" borderId="23" xfId="0" applyNumberFormat="1" applyFont="1" applyFill="1" applyBorder="1" applyAlignment="1">
      <alignment horizontal="center" vertical="center" wrapText="1"/>
    </xf>
    <xf numFmtId="4" fontId="11" fillId="3" borderId="39" xfId="0" applyNumberFormat="1" applyFont="1" applyFill="1" applyBorder="1" applyAlignment="1">
      <alignment horizontal="center" vertical="center"/>
    </xf>
    <xf numFmtId="0" fontId="13" fillId="3" borderId="44" xfId="0" applyFont="1" applyFill="1" applyBorder="1" applyAlignment="1">
      <alignment vertical="center" wrapText="1"/>
    </xf>
    <xf numFmtId="0" fontId="13" fillId="3" borderId="33" xfId="0" applyFont="1" applyFill="1" applyBorder="1" applyAlignment="1">
      <alignment vertical="center" wrapText="1"/>
    </xf>
    <xf numFmtId="4" fontId="11" fillId="3" borderId="47" xfId="0" applyNumberFormat="1" applyFont="1" applyFill="1" applyBorder="1" applyAlignment="1">
      <alignment horizontal="center" vertical="center" wrapText="1"/>
    </xf>
    <xf numFmtId="4" fontId="11" fillId="3" borderId="32" xfId="0" applyNumberFormat="1" applyFont="1" applyFill="1" applyBorder="1" applyAlignment="1">
      <alignment horizontal="center" vertical="center" wrapText="1"/>
    </xf>
    <xf numFmtId="4" fontId="19" fillId="3" borderId="47" xfId="0" applyNumberFormat="1" applyFont="1" applyFill="1" applyBorder="1" applyAlignment="1">
      <alignment horizontal="center" vertical="center" wrapText="1"/>
    </xf>
    <xf numFmtId="4" fontId="19" fillId="3" borderId="32" xfId="0" applyNumberFormat="1" applyFont="1" applyFill="1" applyBorder="1" applyAlignment="1">
      <alignment horizontal="center" vertical="center" wrapText="1"/>
    </xf>
    <xf numFmtId="4" fontId="14" fillId="3" borderId="3" xfId="0" applyNumberFormat="1" applyFont="1" applyFill="1" applyBorder="1" applyAlignment="1">
      <alignment horizontal="center" vertical="center" wrapText="1"/>
    </xf>
    <xf numFmtId="4" fontId="14" fillId="3" borderId="48" xfId="0" applyNumberFormat="1" applyFont="1" applyFill="1" applyBorder="1" applyAlignment="1">
      <alignment horizontal="center" vertical="center" wrapText="1"/>
    </xf>
    <xf numFmtId="4" fontId="4" fillId="3" borderId="0" xfId="0" applyNumberFormat="1" applyFont="1" applyFill="1" applyBorder="1"/>
    <xf numFmtId="4" fontId="11" fillId="3" borderId="3" xfId="0" applyNumberFormat="1" applyFont="1" applyFill="1" applyBorder="1" applyAlignment="1">
      <alignment horizontal="center" vertical="center"/>
    </xf>
    <xf numFmtId="4" fontId="4" fillId="3" borderId="37" xfId="0" applyNumberFormat="1" applyFont="1" applyFill="1" applyBorder="1"/>
    <xf numFmtId="4" fontId="11" fillId="3" borderId="48" xfId="0" applyNumberFormat="1" applyFont="1" applyFill="1" applyBorder="1" applyAlignment="1">
      <alignment horizontal="center" vertical="center"/>
    </xf>
    <xf numFmtId="4" fontId="11" fillId="3" borderId="10" xfId="0" applyNumberFormat="1" applyFont="1" applyFill="1" applyBorder="1"/>
    <xf numFmtId="0" fontId="11" fillId="3" borderId="43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/>
    </xf>
    <xf numFmtId="4" fontId="4" fillId="3" borderId="0" xfId="0" applyNumberFormat="1" applyFont="1" applyFill="1" applyAlignment="1">
      <alignment wrapText="1"/>
    </xf>
    <xf numFmtId="0" fontId="11" fillId="3" borderId="14" xfId="0" applyFont="1" applyFill="1" applyBorder="1" applyAlignment="1">
      <alignment horizontal="center" wrapText="1"/>
    </xf>
    <xf numFmtId="1" fontId="15" fillId="3" borderId="38" xfId="0" applyNumberFormat="1" applyFont="1" applyFill="1" applyBorder="1" applyAlignment="1">
      <alignment horizontal="center" vertical="center" wrapText="1"/>
    </xf>
    <xf numFmtId="1" fontId="15" fillId="3" borderId="51" xfId="0" applyNumberFormat="1" applyFont="1" applyFill="1" applyBorder="1" applyAlignment="1">
      <alignment horizontal="center" vertical="center"/>
    </xf>
    <xf numFmtId="0" fontId="11" fillId="3" borderId="12" xfId="1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wrapText="1"/>
    </xf>
    <xf numFmtId="0" fontId="9" fillId="3" borderId="16" xfId="0" applyFont="1" applyFill="1" applyBorder="1"/>
    <xf numFmtId="0" fontId="11" fillId="3" borderId="43" xfId="1" applyFont="1" applyFill="1" applyBorder="1" applyAlignment="1">
      <alignment horizontal="center" vertical="center" wrapText="1"/>
    </xf>
    <xf numFmtId="4" fontId="13" fillId="3" borderId="43" xfId="0" applyNumberFormat="1" applyFont="1" applyFill="1" applyBorder="1"/>
    <xf numFmtId="4" fontId="4" fillId="3" borderId="1" xfId="0" applyNumberFormat="1" applyFont="1" applyFill="1" applyBorder="1" applyAlignment="1">
      <alignment wrapText="1"/>
    </xf>
    <xf numFmtId="4" fontId="4" fillId="3" borderId="1" xfId="0" applyNumberFormat="1" applyFont="1" applyFill="1" applyBorder="1"/>
    <xf numFmtId="4" fontId="4" fillId="3" borderId="1" xfId="0" applyNumberFormat="1" applyFont="1" applyFill="1" applyBorder="1" applyAlignment="1">
      <alignment horizontal="center"/>
    </xf>
    <xf numFmtId="2" fontId="4" fillId="0" borderId="0" xfId="0" applyNumberFormat="1" applyFont="1"/>
    <xf numFmtId="0" fontId="13" fillId="3" borderId="1" xfId="1" applyFont="1" applyFill="1" applyBorder="1" applyAlignment="1">
      <alignment horizontal="center" vertical="center" wrapText="1"/>
    </xf>
    <xf numFmtId="0" fontId="13" fillId="3" borderId="5" xfId="1" applyFont="1" applyFill="1" applyBorder="1" applyAlignment="1">
      <alignment horizontal="center" vertical="center" wrapText="1"/>
    </xf>
    <xf numFmtId="0" fontId="13" fillId="3" borderId="9" xfId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2" fontId="13" fillId="3" borderId="1" xfId="0" applyNumberFormat="1" applyFont="1" applyFill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vertical="center" wrapText="1"/>
    </xf>
    <xf numFmtId="4" fontId="18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/>
    <xf numFmtId="4" fontId="13" fillId="3" borderId="1" xfId="0" applyNumberFormat="1" applyFont="1" applyFill="1" applyBorder="1" applyAlignment="1">
      <alignment horizontal="center"/>
    </xf>
    <xf numFmtId="0" fontId="4" fillId="3" borderId="7" xfId="0" applyFont="1" applyFill="1" applyBorder="1"/>
    <xf numFmtId="4" fontId="4" fillId="3" borderId="7" xfId="0" applyNumberFormat="1" applyFont="1" applyFill="1" applyBorder="1" applyAlignment="1">
      <alignment horizontal="center"/>
    </xf>
    <xf numFmtId="4" fontId="13" fillId="3" borderId="7" xfId="0" applyNumberFormat="1" applyFont="1" applyFill="1" applyBorder="1" applyAlignment="1">
      <alignment horizontal="center"/>
    </xf>
    <xf numFmtId="4" fontId="13" fillId="3" borderId="10" xfId="0" applyNumberFormat="1" applyFont="1" applyFill="1" applyBorder="1" applyAlignment="1">
      <alignment horizontal="center" vertical="center" wrapText="1"/>
    </xf>
    <xf numFmtId="4" fontId="30" fillId="3" borderId="1" xfId="0" applyNumberFormat="1" applyFont="1" applyFill="1" applyBorder="1" applyAlignment="1">
      <alignment vertical="center" wrapText="1"/>
    </xf>
    <xf numFmtId="4" fontId="30" fillId="3" borderId="8" xfId="0" applyNumberFormat="1" applyFont="1" applyFill="1" applyBorder="1" applyAlignment="1">
      <alignment vertical="center" wrapText="1"/>
    </xf>
    <xf numFmtId="2" fontId="13" fillId="3" borderId="7" xfId="0" applyNumberFormat="1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4" fontId="0" fillId="3" borderId="0" xfId="0" applyNumberFormat="1" applyFont="1" applyFill="1"/>
    <xf numFmtId="4" fontId="11" fillId="3" borderId="0" xfId="0" applyNumberFormat="1" applyFont="1" applyFill="1" applyBorder="1"/>
    <xf numFmtId="3" fontId="11" fillId="3" borderId="0" xfId="0" applyNumberFormat="1" applyFont="1" applyFill="1" applyBorder="1" applyAlignment="1">
      <alignment horizontal="center" vertical="center"/>
    </xf>
    <xf numFmtId="4" fontId="13" fillId="3" borderId="0" xfId="0" applyNumberFormat="1" applyFont="1" applyFill="1" applyBorder="1"/>
    <xf numFmtId="0" fontId="13" fillId="3" borderId="1" xfId="0" applyFont="1" applyFill="1" applyBorder="1"/>
    <xf numFmtId="2" fontId="4" fillId="3" borderId="28" xfId="0" applyNumberFormat="1" applyFont="1" applyFill="1" applyBorder="1" applyAlignment="1">
      <alignment wrapText="1"/>
    </xf>
    <xf numFmtId="0" fontId="4" fillId="3" borderId="63" xfId="0" applyFont="1" applyFill="1" applyBorder="1"/>
    <xf numFmtId="0" fontId="13" fillId="3" borderId="36" xfId="0" applyFont="1" applyFill="1" applyBorder="1"/>
    <xf numFmtId="0" fontId="13" fillId="3" borderId="41" xfId="0" applyFont="1" applyFill="1" applyBorder="1"/>
    <xf numFmtId="0" fontId="4" fillId="3" borderId="24" xfId="0" applyFont="1" applyFill="1" applyBorder="1" applyAlignment="1">
      <alignment wrapText="1"/>
    </xf>
    <xf numFmtId="4" fontId="11" fillId="3" borderId="25" xfId="0" applyNumberFormat="1" applyFont="1" applyFill="1" applyBorder="1"/>
    <xf numFmtId="2" fontId="4" fillId="3" borderId="24" xfId="0" applyNumberFormat="1" applyFont="1" applyFill="1" applyBorder="1" applyAlignment="1">
      <alignment wrapText="1"/>
    </xf>
    <xf numFmtId="4" fontId="17" fillId="4" borderId="21" xfId="0" applyNumberFormat="1" applyFont="1" applyFill="1" applyBorder="1" applyAlignment="1">
      <alignment horizontal="center" vertical="center" wrapText="1"/>
    </xf>
    <xf numFmtId="4" fontId="19" fillId="4" borderId="21" xfId="0" applyNumberFormat="1" applyFont="1" applyFill="1" applyBorder="1" applyAlignment="1">
      <alignment horizontal="center" vertical="center" wrapText="1"/>
    </xf>
    <xf numFmtId="4" fontId="17" fillId="4" borderId="21" xfId="0" applyNumberFormat="1" applyFont="1" applyFill="1" applyBorder="1" applyAlignment="1">
      <alignment horizontal="center" vertical="center"/>
    </xf>
    <xf numFmtId="0" fontId="4" fillId="3" borderId="45" xfId="0" applyFont="1" applyFill="1" applyBorder="1" applyAlignment="1"/>
    <xf numFmtId="0" fontId="4" fillId="3" borderId="14" xfId="0" applyFont="1" applyFill="1" applyBorder="1" applyAlignment="1"/>
    <xf numFmtId="0" fontId="4" fillId="3" borderId="15" xfId="0" applyFont="1" applyFill="1" applyBorder="1" applyAlignment="1"/>
    <xf numFmtId="4" fontId="4" fillId="0" borderId="16" xfId="0" applyNumberFormat="1" applyFont="1" applyBorder="1"/>
    <xf numFmtId="0" fontId="11" fillId="2" borderId="1" xfId="2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vertical="center" wrapText="1"/>
    </xf>
    <xf numFmtId="0" fontId="11" fillId="2" borderId="8" xfId="2" applyFont="1" applyFill="1" applyBorder="1" applyAlignment="1">
      <alignment horizontal="center" vertical="center" wrapText="1"/>
    </xf>
    <xf numFmtId="0" fontId="11" fillId="2" borderId="9" xfId="2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3" fillId="0" borderId="1" xfId="2" applyFont="1" applyBorder="1" applyAlignment="1">
      <alignment horizontal="center"/>
    </xf>
    <xf numFmtId="4" fontId="11" fillId="3" borderId="1" xfId="2" applyNumberFormat="1" applyFont="1" applyFill="1" applyBorder="1" applyAlignment="1">
      <alignment horizontal="left" wrapText="1"/>
    </xf>
    <xf numFmtId="3" fontId="9" fillId="3" borderId="1" xfId="2" applyNumberFormat="1" applyFont="1" applyFill="1" applyBorder="1" applyAlignment="1">
      <alignment horizontal="center" wrapText="1"/>
    </xf>
    <xf numFmtId="4" fontId="9" fillId="3" borderId="1" xfId="2" applyNumberFormat="1" applyFont="1" applyFill="1" applyBorder="1" applyAlignment="1">
      <alignment horizontal="center" wrapText="1"/>
    </xf>
    <xf numFmtId="164" fontId="9" fillId="3" borderId="1" xfId="2" applyNumberFormat="1" applyFont="1" applyFill="1" applyBorder="1" applyAlignment="1">
      <alignment horizontal="center"/>
    </xf>
    <xf numFmtId="4" fontId="9" fillId="3" borderId="1" xfId="2" applyNumberFormat="1" applyFont="1" applyFill="1" applyBorder="1" applyAlignment="1">
      <alignment horizontal="center"/>
    </xf>
    <xf numFmtId="3" fontId="9" fillId="3" borderId="1" xfId="2" applyNumberFormat="1" applyFont="1" applyFill="1" applyBorder="1" applyAlignment="1">
      <alignment horizontal="center"/>
    </xf>
    <xf numFmtId="4" fontId="9" fillId="0" borderId="1" xfId="0" applyNumberFormat="1" applyFont="1" applyBorder="1"/>
    <xf numFmtId="166" fontId="4" fillId="0" borderId="0" xfId="0" applyNumberFormat="1" applyFont="1"/>
    <xf numFmtId="0" fontId="11" fillId="5" borderId="1" xfId="2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vertical="center" wrapText="1"/>
    </xf>
    <xf numFmtId="165" fontId="11" fillId="5" borderId="1" xfId="0" applyNumberFormat="1" applyFont="1" applyFill="1" applyBorder="1" applyAlignment="1">
      <alignment horizontal="center" vertical="center" wrapText="1"/>
    </xf>
    <xf numFmtId="4" fontId="11" fillId="5" borderId="1" xfId="0" applyNumberFormat="1" applyFont="1" applyFill="1" applyBorder="1" applyAlignment="1">
      <alignment horizontal="center" vertical="center" wrapText="1"/>
    </xf>
    <xf numFmtId="4" fontId="9" fillId="5" borderId="1" xfId="0" applyNumberFormat="1" applyFont="1" applyFill="1" applyBorder="1" applyAlignment="1">
      <alignment horizontal="center"/>
    </xf>
    <xf numFmtId="2" fontId="18" fillId="0" borderId="1" xfId="0" applyNumberFormat="1" applyFont="1" applyBorder="1" applyAlignment="1">
      <alignment vertical="center" wrapText="1"/>
    </xf>
    <xf numFmtId="165" fontId="14" fillId="5" borderId="1" xfId="0" applyNumberFormat="1" applyFont="1" applyFill="1" applyBorder="1" applyAlignment="1">
      <alignment horizontal="center" vertical="center" wrapText="1"/>
    </xf>
    <xf numFmtId="4" fontId="14" fillId="5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wrapText="1"/>
    </xf>
    <xf numFmtId="165" fontId="11" fillId="5" borderId="1" xfId="0" applyNumberFormat="1" applyFont="1" applyFill="1" applyBorder="1" applyAlignment="1">
      <alignment horizontal="center"/>
    </xf>
    <xf numFmtId="2" fontId="4" fillId="0" borderId="7" xfId="0" applyNumberFormat="1" applyFont="1" applyBorder="1" applyAlignment="1">
      <alignment wrapText="1"/>
    </xf>
    <xf numFmtId="165" fontId="11" fillId="5" borderId="7" xfId="0" applyNumberFormat="1" applyFont="1" applyFill="1" applyBorder="1" applyAlignment="1">
      <alignment horizontal="center"/>
    </xf>
    <xf numFmtId="4" fontId="9" fillId="5" borderId="7" xfId="0" applyNumberFormat="1" applyFont="1" applyFill="1" applyBorder="1" applyAlignment="1">
      <alignment horizontal="center"/>
    </xf>
    <xf numFmtId="0" fontId="9" fillId="0" borderId="1" xfId="0" applyFont="1" applyFill="1" applyBorder="1"/>
    <xf numFmtId="0" fontId="9" fillId="0" borderId="1" xfId="0" applyFont="1" applyBorder="1"/>
    <xf numFmtId="4" fontId="11" fillId="0" borderId="1" xfId="0" applyNumberFormat="1" applyFont="1" applyBorder="1"/>
    <xf numFmtId="4" fontId="9" fillId="0" borderId="1" xfId="0" applyNumberFormat="1" applyFont="1" applyBorder="1" applyAlignment="1">
      <alignment horizontal="center"/>
    </xf>
    <xf numFmtId="0" fontId="9" fillId="0" borderId="11" xfId="0" applyFont="1" applyFill="1" applyBorder="1" applyAlignment="1">
      <alignment horizontal="center" vertical="center" wrapText="1"/>
    </xf>
    <xf numFmtId="0" fontId="27" fillId="0" borderId="12" xfId="0" applyFont="1" applyFill="1" applyBorder="1" applyAlignment="1">
      <alignment horizontal="center" wrapText="1"/>
    </xf>
    <xf numFmtId="3" fontId="27" fillId="3" borderId="13" xfId="0" applyNumberFormat="1" applyFont="1" applyFill="1" applyBorder="1" applyAlignment="1">
      <alignment horizontal="center" wrapText="1"/>
    </xf>
    <xf numFmtId="0" fontId="27" fillId="0" borderId="16" xfId="0" applyFont="1" applyBorder="1" applyAlignment="1">
      <alignment horizontal="center"/>
    </xf>
    <xf numFmtId="4" fontId="28" fillId="3" borderId="20" xfId="0" applyNumberFormat="1" applyFont="1" applyFill="1" applyBorder="1" applyAlignment="1">
      <alignment horizontal="center" vertical="center" wrapText="1"/>
    </xf>
    <xf numFmtId="4" fontId="28" fillId="3" borderId="21" xfId="0" applyNumberFormat="1" applyFont="1" applyFill="1" applyBorder="1" applyAlignment="1">
      <alignment horizontal="center" vertical="center" wrapText="1"/>
    </xf>
    <xf numFmtId="4" fontId="28" fillId="3" borderId="47" xfId="0" applyNumberFormat="1" applyFont="1" applyFill="1" applyBorder="1" applyAlignment="1">
      <alignment horizontal="center" vertical="center"/>
    </xf>
    <xf numFmtId="4" fontId="28" fillId="3" borderId="21" xfId="0" applyNumberFormat="1" applyFont="1" applyFill="1" applyBorder="1"/>
    <xf numFmtId="4" fontId="27" fillId="3" borderId="1" xfId="0" applyNumberFormat="1" applyFont="1" applyFill="1" applyBorder="1" applyAlignment="1">
      <alignment horizontal="center" vertical="center" wrapText="1"/>
    </xf>
    <xf numFmtId="4" fontId="27" fillId="3" borderId="25" xfId="0" applyNumberFormat="1" applyFont="1" applyFill="1" applyBorder="1" applyAlignment="1">
      <alignment horizontal="center" vertical="center" wrapText="1"/>
    </xf>
    <xf numFmtId="4" fontId="27" fillId="3" borderId="3" xfId="0" applyNumberFormat="1" applyFont="1" applyFill="1" applyBorder="1" applyAlignment="1">
      <alignment horizontal="center" vertical="center"/>
    </xf>
    <xf numFmtId="4" fontId="27" fillId="3" borderId="25" xfId="0" applyNumberFormat="1" applyFont="1" applyFill="1" applyBorder="1"/>
    <xf numFmtId="4" fontId="27" fillId="3" borderId="29" xfId="0" applyNumberFormat="1" applyFont="1" applyFill="1" applyBorder="1" applyAlignment="1">
      <alignment horizontal="center" vertical="center" wrapText="1"/>
    </xf>
    <xf numFmtId="4" fontId="27" fillId="3" borderId="30" xfId="0" applyNumberFormat="1" applyFont="1" applyFill="1" applyBorder="1" applyAlignment="1">
      <alignment horizontal="center" vertical="center" wrapText="1"/>
    </xf>
    <xf numFmtId="4" fontId="27" fillId="3" borderId="48" xfId="0" applyNumberFormat="1" applyFont="1" applyFill="1" applyBorder="1" applyAlignment="1">
      <alignment horizontal="center" vertical="center"/>
    </xf>
    <xf numFmtId="4" fontId="27" fillId="3" borderId="30" xfId="0" applyNumberFormat="1" applyFont="1" applyFill="1" applyBorder="1"/>
    <xf numFmtId="3" fontId="27" fillId="0" borderId="10" xfId="0" applyNumberFormat="1" applyFont="1" applyFill="1" applyBorder="1" applyAlignment="1">
      <alignment vertical="center" wrapText="1"/>
    </xf>
    <xf numFmtId="4" fontId="27" fillId="0" borderId="10" xfId="0" applyNumberFormat="1" applyFont="1" applyFill="1" applyBorder="1" applyAlignment="1">
      <alignment horizontal="center" vertical="center" wrapText="1"/>
    </xf>
    <xf numFmtId="4" fontId="27" fillId="3" borderId="49" xfId="0" applyNumberFormat="1" applyFont="1" applyFill="1" applyBorder="1" applyAlignment="1">
      <alignment horizontal="center" vertical="center"/>
    </xf>
    <xf numFmtId="4" fontId="27" fillId="0" borderId="10" xfId="0" applyNumberFormat="1" applyFont="1" applyBorder="1"/>
    <xf numFmtId="4" fontId="27" fillId="3" borderId="20" xfId="0" applyNumberFormat="1" applyFont="1" applyFill="1" applyBorder="1" applyAlignment="1">
      <alignment horizontal="center" vertical="center" wrapText="1"/>
    </xf>
    <xf numFmtId="4" fontId="28" fillId="3" borderId="47" xfId="0" applyNumberFormat="1" applyFont="1" applyFill="1" applyBorder="1" applyAlignment="1">
      <alignment horizontal="center" vertical="center" wrapText="1"/>
    </xf>
    <xf numFmtId="4" fontId="28" fillId="3" borderId="21" xfId="0" applyNumberFormat="1" applyFont="1" applyFill="1" applyBorder="1" applyAlignment="1">
      <alignment horizontal="center" vertical="center"/>
    </xf>
    <xf numFmtId="4" fontId="27" fillId="3" borderId="3" xfId="0" applyNumberFormat="1" applyFont="1" applyFill="1" applyBorder="1" applyAlignment="1">
      <alignment horizontal="center" vertical="center" wrapText="1"/>
    </xf>
    <xf numFmtId="4" fontId="27" fillId="3" borderId="25" xfId="0" applyNumberFormat="1" applyFont="1" applyFill="1" applyBorder="1" applyAlignment="1">
      <alignment horizontal="center" vertical="center"/>
    </xf>
    <xf numFmtId="4" fontId="27" fillId="3" borderId="48" xfId="0" applyNumberFormat="1" applyFont="1" applyFill="1" applyBorder="1" applyAlignment="1">
      <alignment horizontal="center" vertical="center" wrapText="1"/>
    </xf>
    <xf numFmtId="4" fontId="27" fillId="3" borderId="30" xfId="0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 wrapText="1"/>
    </xf>
    <xf numFmtId="4" fontId="27" fillId="0" borderId="49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Fill="1" applyBorder="1" applyAlignment="1">
      <alignment horizontal="center" vertical="center" wrapText="1"/>
    </xf>
    <xf numFmtId="4" fontId="27" fillId="0" borderId="49" xfId="0" applyNumberFormat="1" applyFont="1" applyBorder="1" applyAlignment="1">
      <alignment horizontal="center" vertical="center"/>
    </xf>
    <xf numFmtId="4" fontId="27" fillId="0" borderId="20" xfId="0" applyNumberFormat="1" applyFont="1" applyFill="1" applyBorder="1" applyAlignment="1">
      <alignment horizontal="center" vertical="center" wrapText="1"/>
    </xf>
    <xf numFmtId="4" fontId="27" fillId="0" borderId="21" xfId="0" applyNumberFormat="1" applyFont="1" applyFill="1" applyBorder="1" applyAlignment="1">
      <alignment horizontal="center" vertical="center" wrapText="1"/>
    </xf>
    <xf numFmtId="4" fontId="27" fillId="0" borderId="21" xfId="0" applyNumberFormat="1" applyFont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 vertical="center" wrapText="1"/>
    </xf>
    <xf numFmtId="4" fontId="27" fillId="0" borderId="25" xfId="0" applyNumberFormat="1" applyFont="1" applyFill="1" applyBorder="1" applyAlignment="1">
      <alignment horizontal="center" vertical="center" wrapText="1"/>
    </xf>
    <xf numFmtId="4" fontId="27" fillId="0" borderId="25" xfId="0" applyNumberFormat="1" applyFont="1" applyBorder="1" applyAlignment="1">
      <alignment horizontal="center" vertical="center"/>
    </xf>
    <xf numFmtId="4" fontId="27" fillId="0" borderId="29" xfId="0" applyNumberFormat="1" applyFont="1" applyFill="1" applyBorder="1" applyAlignment="1">
      <alignment horizontal="center" vertical="center" wrapText="1"/>
    </xf>
    <xf numFmtId="4" fontId="27" fillId="0" borderId="30" xfId="0" applyNumberFormat="1" applyFont="1" applyFill="1" applyBorder="1" applyAlignment="1">
      <alignment horizontal="center" vertical="center" wrapText="1"/>
    </xf>
    <xf numFmtId="4" fontId="27" fillId="0" borderId="30" xfId="0" applyNumberFormat="1" applyFont="1" applyBorder="1" applyAlignment="1">
      <alignment horizontal="center" vertical="center"/>
    </xf>
    <xf numFmtId="4" fontId="27" fillId="0" borderId="7" xfId="0" applyNumberFormat="1" applyFont="1" applyFill="1" applyBorder="1" applyAlignment="1">
      <alignment horizontal="center" vertical="center" wrapText="1"/>
    </xf>
    <xf numFmtId="4" fontId="27" fillId="0" borderId="64" xfId="0" applyNumberFormat="1" applyFont="1" applyFill="1" applyBorder="1" applyAlignment="1">
      <alignment horizontal="center" vertical="center" wrapText="1"/>
    </xf>
    <xf numFmtId="4" fontId="27" fillId="0" borderId="64" xfId="0" applyNumberFormat="1" applyFont="1" applyBorder="1" applyAlignment="1">
      <alignment horizontal="center" vertical="center"/>
    </xf>
    <xf numFmtId="4" fontId="33" fillId="3" borderId="1" xfId="0" applyNumberFormat="1" applyFont="1" applyFill="1" applyBorder="1" applyAlignment="1">
      <alignment horizontal="center" vertical="center" wrapText="1"/>
    </xf>
    <xf numFmtId="4" fontId="33" fillId="3" borderId="25" xfId="0" applyNumberFormat="1" applyFont="1" applyFill="1" applyBorder="1" applyAlignment="1">
      <alignment horizontal="center" vertical="center" wrapText="1"/>
    </xf>
    <xf numFmtId="4" fontId="33" fillId="3" borderId="3" xfId="0" applyNumberFormat="1" applyFont="1" applyFill="1" applyBorder="1" applyAlignment="1">
      <alignment horizontal="center" vertical="center"/>
    </xf>
    <xf numFmtId="4" fontId="33" fillId="3" borderId="30" xfId="0" applyNumberFormat="1" applyFont="1" applyFill="1" applyBorder="1" applyAlignment="1">
      <alignment horizontal="center" vertical="center" wrapText="1"/>
    </xf>
    <xf numFmtId="4" fontId="33" fillId="3" borderId="29" xfId="0" applyNumberFormat="1" applyFont="1" applyFill="1" applyBorder="1" applyAlignment="1">
      <alignment horizontal="center" vertical="center" wrapText="1"/>
    </xf>
    <xf numFmtId="4" fontId="33" fillId="3" borderId="48" xfId="0" applyNumberFormat="1" applyFont="1" applyFill="1" applyBorder="1" applyAlignment="1">
      <alignment horizontal="center" vertical="center"/>
    </xf>
    <xf numFmtId="4" fontId="33" fillId="0" borderId="10" xfId="0" applyNumberFormat="1" applyFont="1" applyFill="1" applyBorder="1" applyAlignment="1">
      <alignment horizontal="center" vertical="center" wrapText="1"/>
    </xf>
    <xf numFmtId="4" fontId="33" fillId="3" borderId="49" xfId="0" applyNumberFormat="1" applyFont="1" applyFill="1" applyBorder="1" applyAlignment="1">
      <alignment horizontal="center" vertical="center"/>
    </xf>
    <xf numFmtId="4" fontId="27" fillId="3" borderId="20" xfId="0" applyNumberFormat="1" applyFont="1" applyFill="1" applyBorder="1" applyAlignment="1">
      <alignment horizontal="center" vertical="center"/>
    </xf>
    <xf numFmtId="4" fontId="28" fillId="3" borderId="20" xfId="0" applyNumberFormat="1" applyFont="1" applyFill="1" applyBorder="1" applyAlignment="1">
      <alignment horizontal="center" vertical="center"/>
    </xf>
    <xf numFmtId="4" fontId="27" fillId="3" borderId="1" xfId="0" applyNumberFormat="1" applyFont="1" applyFill="1" applyBorder="1" applyAlignment="1">
      <alignment horizontal="center" vertical="center"/>
    </xf>
    <xf numFmtId="4" fontId="27" fillId="3" borderId="29" xfId="0" applyNumberFormat="1" applyFont="1" applyFill="1" applyBorder="1" applyAlignment="1">
      <alignment horizontal="center" vertical="center"/>
    </xf>
    <xf numFmtId="3" fontId="27" fillId="3" borderId="10" xfId="0" applyNumberFormat="1" applyFont="1" applyFill="1" applyBorder="1" applyAlignment="1">
      <alignment vertical="center" wrapText="1"/>
    </xf>
    <xf numFmtId="4" fontId="27" fillId="3" borderId="8" xfId="0" applyNumberFormat="1" applyFont="1" applyFill="1" applyBorder="1" applyAlignment="1">
      <alignment horizontal="center" vertical="center"/>
    </xf>
    <xf numFmtId="4" fontId="27" fillId="3" borderId="53" xfId="0" applyNumberFormat="1" applyFont="1" applyFill="1" applyBorder="1" applyAlignment="1">
      <alignment horizontal="center" vertical="center"/>
    </xf>
    <xf numFmtId="4" fontId="27" fillId="3" borderId="8" xfId="0" applyNumberFormat="1" applyFont="1" applyFill="1" applyBorder="1"/>
    <xf numFmtId="4" fontId="27" fillId="0" borderId="8" xfId="0" applyNumberFormat="1" applyFont="1" applyFill="1" applyBorder="1" applyAlignment="1">
      <alignment horizontal="center" vertical="center"/>
    </xf>
    <xf numFmtId="4" fontId="27" fillId="0" borderId="8" xfId="0" applyNumberFormat="1" applyFont="1" applyBorder="1"/>
    <xf numFmtId="4" fontId="27" fillId="0" borderId="7" xfId="0" applyNumberFormat="1" applyFont="1" applyBorder="1"/>
    <xf numFmtId="4" fontId="33" fillId="0" borderId="21" xfId="0" applyNumberFormat="1" applyFont="1" applyBorder="1"/>
    <xf numFmtId="4" fontId="33" fillId="0" borderId="47" xfId="0" applyNumberFormat="1" applyFont="1" applyBorder="1"/>
    <xf numFmtId="4" fontId="27" fillId="0" borderId="21" xfId="0" applyNumberFormat="1" applyFont="1" applyBorder="1"/>
    <xf numFmtId="4" fontId="33" fillId="0" borderId="30" xfId="0" applyNumberFormat="1" applyFont="1" applyBorder="1"/>
    <xf numFmtId="4" fontId="33" fillId="0" borderId="48" xfId="0" applyNumberFormat="1" applyFont="1" applyBorder="1"/>
    <xf numFmtId="4" fontId="27" fillId="0" borderId="30" xfId="0" applyNumberFormat="1" applyFont="1" applyBorder="1"/>
    <xf numFmtId="4" fontId="27" fillId="0" borderId="12" xfId="0" applyNumberFormat="1" applyFont="1" applyBorder="1"/>
    <xf numFmtId="4" fontId="27" fillId="0" borderId="13" xfId="0" applyNumberFormat="1" applyFont="1" applyBorder="1"/>
    <xf numFmtId="4" fontId="27" fillId="0" borderId="16" xfId="0" applyNumberFormat="1" applyFont="1" applyBorder="1"/>
    <xf numFmtId="0" fontId="27" fillId="0" borderId="13" xfId="0" applyFont="1" applyFill="1" applyBorder="1" applyAlignment="1">
      <alignment horizontal="center" wrapText="1"/>
    </xf>
    <xf numFmtId="0" fontId="10" fillId="3" borderId="17" xfId="0" applyFont="1" applyFill="1" applyBorder="1" applyAlignment="1">
      <alignment vertical="center" wrapText="1"/>
    </xf>
    <xf numFmtId="0" fontId="9" fillId="3" borderId="22" xfId="0" applyFont="1" applyFill="1" applyBorder="1" applyAlignment="1">
      <alignment vertical="center" wrapText="1"/>
    </xf>
    <xf numFmtId="0" fontId="9" fillId="3" borderId="26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 wrapText="1"/>
    </xf>
    <xf numFmtId="0" fontId="19" fillId="3" borderId="19" xfId="0" applyFont="1" applyFill="1" applyBorder="1" applyAlignment="1">
      <alignment vertical="center" wrapText="1"/>
    </xf>
    <xf numFmtId="0" fontId="11" fillId="3" borderId="24" xfId="0" applyFont="1" applyFill="1" applyBorder="1" applyAlignment="1">
      <alignment vertical="center" wrapText="1"/>
    </xf>
    <xf numFmtId="0" fontId="11" fillId="3" borderId="28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1" fillId="0" borderId="17" xfId="0" applyFont="1" applyFill="1" applyBorder="1" applyAlignment="1">
      <alignment vertical="center" wrapText="1"/>
    </xf>
    <xf numFmtId="0" fontId="11" fillId="0" borderId="22" xfId="0" applyFont="1" applyFill="1" applyBorder="1" applyAlignment="1">
      <alignment vertical="center" wrapText="1"/>
    </xf>
    <xf numFmtId="0" fontId="11" fillId="0" borderId="26" xfId="0" applyFont="1" applyFill="1" applyBorder="1" applyAlignment="1">
      <alignment vertical="center" wrapText="1"/>
    </xf>
    <xf numFmtId="0" fontId="11" fillId="0" borderId="23" xfId="0" applyFont="1" applyFill="1" applyBorder="1" applyAlignment="1">
      <alignment vertical="center" wrapText="1"/>
    </xf>
    <xf numFmtId="0" fontId="34" fillId="3" borderId="22" xfId="0" applyFont="1" applyFill="1" applyBorder="1" applyAlignment="1">
      <alignment vertical="center" wrapText="1"/>
    </xf>
    <xf numFmtId="0" fontId="34" fillId="3" borderId="26" xfId="0" applyFont="1" applyFill="1" applyBorder="1" applyAlignment="1">
      <alignment vertical="center" wrapText="1"/>
    </xf>
    <xf numFmtId="0" fontId="34" fillId="0" borderId="10" xfId="0" applyFont="1" applyFill="1" applyBorder="1" applyAlignment="1">
      <alignment vertical="center" wrapText="1"/>
    </xf>
    <xf numFmtId="2" fontId="10" fillId="3" borderId="17" xfId="0" applyNumberFormat="1" applyFont="1" applyFill="1" applyBorder="1" applyAlignment="1">
      <alignment wrapText="1"/>
    </xf>
    <xf numFmtId="2" fontId="9" fillId="3" borderId="22" xfId="0" applyNumberFormat="1" applyFont="1" applyFill="1" applyBorder="1" applyAlignment="1">
      <alignment wrapText="1"/>
    </xf>
    <xf numFmtId="2" fontId="9" fillId="3" borderId="26" xfId="0" applyNumberFormat="1" applyFont="1" applyFill="1" applyBorder="1" applyAlignment="1">
      <alignment wrapText="1"/>
    </xf>
    <xf numFmtId="2" fontId="9" fillId="3" borderId="8" xfId="0" applyNumberFormat="1" applyFont="1" applyFill="1" applyBorder="1" applyAlignment="1">
      <alignment wrapText="1"/>
    </xf>
    <xf numFmtId="0" fontId="10" fillId="3" borderId="17" xfId="0" applyFont="1" applyFill="1" applyBorder="1" applyAlignment="1">
      <alignment wrapText="1"/>
    </xf>
    <xf numFmtId="0" fontId="9" fillId="3" borderId="22" xfId="0" applyFont="1" applyFill="1" applyBorder="1" applyAlignment="1">
      <alignment wrapText="1"/>
    </xf>
    <xf numFmtId="0" fontId="9" fillId="3" borderId="26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35" fillId="0" borderId="0" xfId="0" applyFont="1"/>
    <xf numFmtId="4" fontId="35" fillId="0" borderId="0" xfId="0" applyNumberFormat="1" applyFont="1" applyBorder="1"/>
    <xf numFmtId="0" fontId="9" fillId="0" borderId="19" xfId="0" applyFont="1" applyBorder="1" applyAlignment="1">
      <alignment wrapText="1"/>
    </xf>
    <xf numFmtId="4" fontId="33" fillId="0" borderId="20" xfId="0" applyNumberFormat="1" applyFont="1" applyBorder="1"/>
    <xf numFmtId="2" fontId="9" fillId="0" borderId="67" xfId="0" applyNumberFormat="1" applyFont="1" applyBorder="1" applyAlignment="1">
      <alignment wrapText="1"/>
    </xf>
    <xf numFmtId="4" fontId="33" fillId="0" borderId="29" xfId="0" applyNumberFormat="1" applyFont="1" applyBorder="1"/>
    <xf numFmtId="0" fontId="9" fillId="0" borderId="11" xfId="0" applyFont="1" applyBorder="1"/>
    <xf numFmtId="0" fontId="36" fillId="0" borderId="0" xfId="0" applyFont="1"/>
    <xf numFmtId="4" fontId="5" fillId="0" borderId="21" xfId="0" applyNumberFormat="1" applyFont="1" applyBorder="1"/>
    <xf numFmtId="4" fontId="4" fillId="0" borderId="57" xfId="0" applyNumberFormat="1" applyFont="1" applyBorder="1"/>
    <xf numFmtId="2" fontId="4" fillId="3" borderId="19" xfId="0" applyNumberFormat="1" applyFont="1" applyFill="1" applyBorder="1" applyAlignment="1">
      <alignment wrapText="1"/>
    </xf>
    <xf numFmtId="0" fontId="27" fillId="4" borderId="12" xfId="0" applyFont="1" applyFill="1" applyBorder="1" applyAlignment="1">
      <alignment horizontal="center" wrapText="1"/>
    </xf>
    <xf numFmtId="4" fontId="28" fillId="4" borderId="19" xfId="0" applyNumberFormat="1" applyFont="1" applyFill="1" applyBorder="1" applyAlignment="1">
      <alignment horizontal="center" vertical="center" wrapText="1"/>
    </xf>
    <xf numFmtId="4" fontId="27" fillId="4" borderId="24" xfId="0" applyNumberFormat="1" applyFont="1" applyFill="1" applyBorder="1" applyAlignment="1">
      <alignment horizontal="center" vertical="center" wrapText="1"/>
    </xf>
    <xf numFmtId="4" fontId="27" fillId="4" borderId="28" xfId="0" applyNumberFormat="1" applyFont="1" applyFill="1" applyBorder="1" applyAlignment="1">
      <alignment horizontal="center" vertical="center" wrapText="1"/>
    </xf>
    <xf numFmtId="4" fontId="27" fillId="4" borderId="10" xfId="0" applyNumberFormat="1" applyFont="1" applyFill="1" applyBorder="1" applyAlignment="1">
      <alignment horizontal="center" vertical="center" wrapText="1"/>
    </xf>
    <xf numFmtId="4" fontId="27" fillId="4" borderId="20" xfId="0" applyNumberFormat="1" applyFont="1" applyFill="1" applyBorder="1" applyAlignment="1">
      <alignment horizontal="center" vertical="center" wrapText="1"/>
    </xf>
    <xf numFmtId="4" fontId="27" fillId="4" borderId="1" xfId="0" applyNumberFormat="1" applyFont="1" applyFill="1" applyBorder="1" applyAlignment="1">
      <alignment horizontal="center" vertical="center" wrapText="1"/>
    </xf>
    <xf numFmtId="4" fontId="27" fillId="4" borderId="29" xfId="0" applyNumberFormat="1" applyFont="1" applyFill="1" applyBorder="1" applyAlignment="1">
      <alignment horizontal="center" vertical="center" wrapText="1"/>
    </xf>
    <xf numFmtId="4" fontId="27" fillId="4" borderId="35" xfId="0" applyNumberFormat="1" applyFont="1" applyFill="1" applyBorder="1" applyAlignment="1">
      <alignment horizontal="center" vertical="center" wrapText="1"/>
    </xf>
    <xf numFmtId="4" fontId="27" fillId="4" borderId="19" xfId="0" applyNumberFormat="1" applyFont="1" applyFill="1" applyBorder="1" applyAlignment="1">
      <alignment horizontal="center" vertical="center" wrapText="1"/>
    </xf>
    <xf numFmtId="4" fontId="27" fillId="4" borderId="65" xfId="0" applyNumberFormat="1" applyFont="1" applyFill="1" applyBorder="1" applyAlignment="1">
      <alignment horizontal="center" vertical="center" wrapText="1"/>
    </xf>
    <xf numFmtId="4" fontId="33" fillId="4" borderId="24" xfId="0" applyNumberFormat="1" applyFont="1" applyFill="1" applyBorder="1" applyAlignment="1">
      <alignment horizontal="center" vertical="center" wrapText="1"/>
    </xf>
    <xf numFmtId="4" fontId="28" fillId="4" borderId="28" xfId="0" applyNumberFormat="1" applyFont="1" applyFill="1" applyBorder="1" applyAlignment="1">
      <alignment horizontal="center" vertical="center" wrapText="1"/>
    </xf>
    <xf numFmtId="4" fontId="28" fillId="4" borderId="10" xfId="0" applyNumberFormat="1" applyFont="1" applyFill="1" applyBorder="1" applyAlignment="1">
      <alignment horizontal="center" vertical="center" wrapText="1"/>
    </xf>
    <xf numFmtId="4" fontId="27" fillId="4" borderId="32" xfId="0" applyNumberFormat="1" applyFont="1" applyFill="1" applyBorder="1" applyAlignment="1">
      <alignment horizontal="center" vertical="center"/>
    </xf>
    <xf numFmtId="4" fontId="27" fillId="4" borderId="5" xfId="0" applyNumberFormat="1" applyFont="1" applyFill="1" applyBorder="1" applyAlignment="1">
      <alignment horizontal="center" vertical="center"/>
    </xf>
    <xf numFmtId="4" fontId="27" fillId="4" borderId="34" xfId="0" applyNumberFormat="1" applyFont="1" applyFill="1" applyBorder="1" applyAlignment="1">
      <alignment horizontal="center" vertical="center"/>
    </xf>
    <xf numFmtId="4" fontId="27" fillId="4" borderId="8" xfId="0" applyNumberFormat="1" applyFont="1" applyFill="1" applyBorder="1" applyAlignment="1">
      <alignment horizontal="center" vertical="center"/>
    </xf>
    <xf numFmtId="4" fontId="27" fillId="4" borderId="62" xfId="0" applyNumberFormat="1" applyFont="1" applyFill="1" applyBorder="1" applyAlignment="1">
      <alignment horizontal="center" vertical="center" wrapText="1"/>
    </xf>
    <xf numFmtId="4" fontId="27" fillId="4" borderId="66" xfId="0" applyNumberFormat="1" applyFont="1" applyFill="1" applyBorder="1" applyAlignment="1">
      <alignment horizontal="center" vertical="center" wrapText="1"/>
    </xf>
    <xf numFmtId="0" fontId="27" fillId="4" borderId="0" xfId="0" applyFont="1" applyFill="1"/>
    <xf numFmtId="4" fontId="33" fillId="4" borderId="19" xfId="0" applyNumberFormat="1" applyFont="1" applyFill="1" applyBorder="1"/>
    <xf numFmtId="4" fontId="33" fillId="4" borderId="28" xfId="0" applyNumberFormat="1" applyFont="1" applyFill="1" applyBorder="1"/>
    <xf numFmtId="4" fontId="27" fillId="4" borderId="12" xfId="0" applyNumberFormat="1" applyFont="1" applyFill="1" applyBorder="1"/>
    <xf numFmtId="4" fontId="27" fillId="4" borderId="32" xfId="0" applyNumberFormat="1" applyFont="1" applyFill="1" applyBorder="1" applyAlignment="1">
      <alignment horizontal="center" vertical="center" wrapText="1"/>
    </xf>
    <xf numFmtId="4" fontId="27" fillId="4" borderId="34" xfId="0" applyNumberFormat="1" applyFont="1" applyFill="1" applyBorder="1" applyAlignment="1">
      <alignment horizontal="center" vertical="center" wrapText="1"/>
    </xf>
    <xf numFmtId="4" fontId="27" fillId="4" borderId="19" xfId="0" applyNumberFormat="1" applyFont="1" applyFill="1" applyBorder="1" applyAlignment="1">
      <alignment horizontal="center" vertical="center"/>
    </xf>
    <xf numFmtId="4" fontId="27" fillId="4" borderId="24" xfId="0" applyNumberFormat="1" applyFont="1" applyFill="1" applyBorder="1" applyAlignment="1">
      <alignment horizontal="center" vertical="center"/>
    </xf>
    <xf numFmtId="4" fontId="27" fillId="4" borderId="28" xfId="0" applyNumberFormat="1" applyFont="1" applyFill="1" applyBorder="1" applyAlignment="1">
      <alignment horizontal="center" vertical="center"/>
    </xf>
    <xf numFmtId="4" fontId="27" fillId="4" borderId="44" xfId="0" applyNumberFormat="1" applyFont="1" applyFill="1" applyBorder="1" applyAlignment="1">
      <alignment horizontal="center" vertical="center" wrapText="1"/>
    </xf>
    <xf numFmtId="0" fontId="35" fillId="4" borderId="0" xfId="0" applyFont="1" applyFill="1"/>
    <xf numFmtId="4" fontId="4" fillId="3" borderId="1" xfId="0" applyNumberFormat="1" applyFont="1" applyFill="1" applyBorder="1" applyAlignment="1">
      <alignment horizontal="center"/>
    </xf>
    <xf numFmtId="0" fontId="24" fillId="2" borderId="9" xfId="3" applyFont="1" applyFill="1" applyBorder="1" applyAlignment="1">
      <alignment horizontal="center" vertical="center" wrapText="1"/>
    </xf>
    <xf numFmtId="0" fontId="11" fillId="3" borderId="1" xfId="3" applyFont="1" applyFill="1" applyBorder="1" applyAlignment="1">
      <alignment horizontal="center"/>
    </xf>
    <xf numFmtId="4" fontId="9" fillId="3" borderId="1" xfId="3" applyNumberFormat="1" applyFont="1" applyFill="1" applyBorder="1" applyAlignment="1">
      <alignment horizontal="left" wrapText="1"/>
    </xf>
    <xf numFmtId="4" fontId="9" fillId="3" borderId="1" xfId="3" applyNumberFormat="1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9" fillId="3" borderId="1" xfId="0" applyFont="1" applyFill="1" applyBorder="1"/>
    <xf numFmtId="4" fontId="9" fillId="3" borderId="1" xfId="0" applyNumberFormat="1" applyFont="1" applyFill="1" applyBorder="1" applyAlignment="1">
      <alignment horizontal="left" wrapText="1"/>
    </xf>
    <xf numFmtId="4" fontId="9" fillId="3" borderId="1" xfId="0" applyNumberFormat="1" applyFont="1" applyFill="1" applyBorder="1" applyAlignment="1">
      <alignment wrapText="1"/>
    </xf>
    <xf numFmtId="3" fontId="9" fillId="3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6" fontId="9" fillId="3" borderId="1" xfId="0" applyNumberFormat="1" applyFont="1" applyFill="1" applyBorder="1" applyAlignment="1">
      <alignment horizontal="center" vertical="center" wrapText="1"/>
    </xf>
    <xf numFmtId="3" fontId="9" fillId="0" borderId="0" xfId="3" applyNumberFormat="1" applyFont="1" applyFill="1" applyBorder="1" applyAlignment="1"/>
    <xf numFmtId="0" fontId="9" fillId="0" borderId="0" xfId="0" applyFont="1" applyFill="1"/>
    <xf numFmtId="4" fontId="36" fillId="0" borderId="0" xfId="0" applyNumberFormat="1" applyFont="1"/>
    <xf numFmtId="0" fontId="9" fillId="2" borderId="10" xfId="3" applyFont="1" applyFill="1" applyBorder="1" applyAlignment="1">
      <alignment horizontal="center" vertical="center" wrapText="1"/>
    </xf>
    <xf numFmtId="0" fontId="9" fillId="2" borderId="35" xfId="3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3" applyFont="1" applyFill="1" applyBorder="1" applyAlignment="1">
      <alignment horizontal="center" vertical="center" wrapText="1"/>
    </xf>
    <xf numFmtId="0" fontId="9" fillId="2" borderId="1" xfId="3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166" fontId="9" fillId="3" borderId="1" xfId="0" applyNumberFormat="1" applyFont="1" applyFill="1" applyBorder="1" applyAlignment="1">
      <alignment horizontal="right" vertical="center" wrapText="1"/>
    </xf>
    <xf numFmtId="4" fontId="9" fillId="3" borderId="1" xfId="0" applyNumberFormat="1" applyFont="1" applyFill="1" applyBorder="1" applyAlignment="1">
      <alignment horizontal="right" vertical="center" wrapText="1"/>
    </xf>
    <xf numFmtId="168" fontId="9" fillId="3" borderId="1" xfId="0" applyNumberFormat="1" applyFont="1" applyFill="1" applyBorder="1" applyAlignment="1">
      <alignment horizontal="right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3" fontId="9" fillId="3" borderId="1" xfId="0" applyNumberFormat="1" applyFont="1" applyFill="1" applyBorder="1" applyAlignment="1">
      <alignment horizontal="right" vertical="center" wrapText="1"/>
    </xf>
    <xf numFmtId="0" fontId="34" fillId="3" borderId="1" xfId="0" applyFont="1" applyFill="1" applyBorder="1" applyAlignment="1">
      <alignment vertical="center" wrapText="1"/>
    </xf>
    <xf numFmtId="3" fontId="34" fillId="3" borderId="1" xfId="0" applyNumberFormat="1" applyFont="1" applyFill="1" applyBorder="1" applyAlignment="1">
      <alignment horizontal="right" vertical="center" wrapText="1"/>
    </xf>
    <xf numFmtId="4" fontId="34" fillId="3" borderId="1" xfId="0" applyNumberFormat="1" applyFont="1" applyFill="1" applyBorder="1" applyAlignment="1">
      <alignment horizontal="right" vertical="center" wrapText="1"/>
    </xf>
    <xf numFmtId="166" fontId="34" fillId="3" borderId="1" xfId="0" applyNumberFormat="1" applyFont="1" applyFill="1" applyBorder="1" applyAlignment="1">
      <alignment horizontal="right" vertical="center" wrapText="1"/>
    </xf>
    <xf numFmtId="168" fontId="34" fillId="3" borderId="1" xfId="0" applyNumberFormat="1" applyFont="1" applyFill="1" applyBorder="1" applyAlignment="1">
      <alignment horizontal="right" vertical="center" wrapText="1"/>
    </xf>
    <xf numFmtId="165" fontId="34" fillId="3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/>
    <xf numFmtId="3" fontId="9" fillId="3" borderId="1" xfId="0" applyNumberFormat="1" applyFont="1" applyFill="1" applyBorder="1" applyAlignment="1">
      <alignment vertical="center" wrapText="1"/>
    </xf>
    <xf numFmtId="3" fontId="9" fillId="2" borderId="1" xfId="0" applyNumberFormat="1" applyFont="1" applyFill="1" applyBorder="1" applyAlignment="1">
      <alignment horizontal="right"/>
    </xf>
    <xf numFmtId="166" fontId="9" fillId="2" borderId="1" xfId="0" applyNumberFormat="1" applyFont="1" applyFill="1" applyBorder="1" applyAlignment="1">
      <alignment horizontal="right"/>
    </xf>
    <xf numFmtId="4" fontId="9" fillId="2" borderId="1" xfId="0" applyNumberFormat="1" applyFont="1" applyFill="1" applyBorder="1" applyAlignment="1">
      <alignment horizontal="right"/>
    </xf>
    <xf numFmtId="0" fontId="9" fillId="3" borderId="1" xfId="3" applyFont="1" applyFill="1" applyBorder="1" applyAlignment="1">
      <alignment horizontal="right" vertical="center" wrapText="1"/>
    </xf>
    <xf numFmtId="3" fontId="9" fillId="3" borderId="1" xfId="0" applyNumberFormat="1" applyFont="1" applyFill="1" applyBorder="1" applyAlignment="1"/>
    <xf numFmtId="4" fontId="9" fillId="3" borderId="1" xfId="0" applyNumberFormat="1" applyFont="1" applyFill="1" applyBorder="1" applyAlignment="1">
      <alignment horizontal="right"/>
    </xf>
    <xf numFmtId="164" fontId="9" fillId="3" borderId="1" xfId="0" applyNumberFormat="1" applyFont="1" applyFill="1" applyBorder="1" applyAlignment="1">
      <alignment horizontal="right"/>
    </xf>
    <xf numFmtId="3" fontId="9" fillId="3" borderId="1" xfId="0" applyNumberFormat="1" applyFont="1" applyFill="1" applyBorder="1" applyAlignment="1">
      <alignment horizontal="right"/>
    </xf>
    <xf numFmtId="166" fontId="9" fillId="3" borderId="1" xfId="0" applyNumberFormat="1" applyFont="1" applyFill="1" applyBorder="1" applyAlignment="1">
      <alignment horizontal="right"/>
    </xf>
    <xf numFmtId="4" fontId="9" fillId="6" borderId="1" xfId="0" applyNumberFormat="1" applyFont="1" applyFill="1" applyBorder="1"/>
    <xf numFmtId="4" fontId="9" fillId="6" borderId="1" xfId="0" applyNumberFormat="1" applyFont="1" applyFill="1" applyBorder="1" applyAlignment="1">
      <alignment vertical="center" wrapText="1"/>
    </xf>
    <xf numFmtId="4" fontId="9" fillId="6" borderId="1" xfId="0" applyNumberFormat="1" applyFont="1" applyFill="1" applyBorder="1" applyAlignment="1">
      <alignment horizontal="right"/>
    </xf>
    <xf numFmtId="4" fontId="9" fillId="6" borderId="1" xfId="0" applyNumberFormat="1" applyFont="1" applyFill="1" applyBorder="1" applyAlignment="1">
      <alignment horizontal="right" vertical="center" wrapText="1"/>
    </xf>
    <xf numFmtId="4" fontId="9" fillId="6" borderId="1" xfId="3" applyNumberFormat="1" applyFont="1" applyFill="1" applyBorder="1" applyAlignment="1">
      <alignment horizontal="right" vertical="center" wrapText="1"/>
    </xf>
    <xf numFmtId="4" fontId="21" fillId="0" borderId="0" xfId="0" applyNumberFormat="1" applyFont="1"/>
    <xf numFmtId="0" fontId="22" fillId="0" borderId="0" xfId="0" applyFont="1"/>
    <xf numFmtId="0" fontId="13" fillId="6" borderId="1" xfId="0" applyFont="1" applyFill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center" wrapText="1"/>
    </xf>
    <xf numFmtId="0" fontId="24" fillId="6" borderId="1" xfId="3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24" fillId="6" borderId="1" xfId="0" applyFont="1" applyFill="1" applyBorder="1" applyAlignment="1">
      <alignment wrapText="1"/>
    </xf>
    <xf numFmtId="0" fontId="13" fillId="6" borderId="7" xfId="0" applyFont="1" applyFill="1" applyBorder="1" applyAlignment="1">
      <alignment horizontal="center" vertical="center" wrapText="1"/>
    </xf>
    <xf numFmtId="0" fontId="11" fillId="6" borderId="7" xfId="0" applyFont="1" applyFill="1" applyBorder="1" applyAlignment="1">
      <alignment horizontal="center" vertical="center" wrapText="1"/>
    </xf>
    <xf numFmtId="0" fontId="24" fillId="6" borderId="7" xfId="0" applyFont="1" applyFill="1" applyBorder="1" applyAlignment="1">
      <alignment wrapText="1"/>
    </xf>
    <xf numFmtId="0" fontId="24" fillId="6" borderId="7" xfId="0" applyFont="1" applyFill="1" applyBorder="1" applyAlignment="1">
      <alignment horizontal="center" wrapText="1"/>
    </xf>
    <xf numFmtId="0" fontId="24" fillId="6" borderId="7" xfId="3" applyFont="1" applyFill="1" applyBorder="1" applyAlignment="1">
      <alignment horizontal="center" vertical="center" wrapText="1"/>
    </xf>
    <xf numFmtId="4" fontId="19" fillId="0" borderId="21" xfId="0" applyNumberFormat="1" applyFont="1" applyBorder="1" applyAlignment="1">
      <alignment horizontal="center" wrapText="1"/>
    </xf>
    <xf numFmtId="4" fontId="22" fillId="0" borderId="0" xfId="0" applyNumberFormat="1" applyFont="1"/>
    <xf numFmtId="2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4" fontId="13" fillId="0" borderId="25" xfId="0" applyNumberFormat="1" applyFont="1" applyBorder="1" applyAlignment="1">
      <alignment horizontal="center" wrapText="1"/>
    </xf>
    <xf numFmtId="2" fontId="13" fillId="0" borderId="29" xfId="0" applyNumberFormat="1" applyFont="1" applyFill="1" applyBorder="1" applyAlignment="1">
      <alignment horizontal="center" vertical="center" wrapText="1"/>
    </xf>
    <xf numFmtId="4" fontId="13" fillId="0" borderId="29" xfId="0" applyNumberFormat="1" applyFont="1" applyFill="1" applyBorder="1" applyAlignment="1">
      <alignment horizontal="center" wrapText="1"/>
    </xf>
    <xf numFmtId="4" fontId="13" fillId="0" borderId="29" xfId="0" applyNumberFormat="1" applyFont="1" applyBorder="1" applyAlignment="1">
      <alignment horizontal="center" wrapText="1"/>
    </xf>
    <xf numFmtId="4" fontId="13" fillId="0" borderId="30" xfId="0" applyNumberFormat="1" applyFont="1" applyBorder="1" applyAlignment="1">
      <alignment horizont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vertical="center" wrapText="1"/>
    </xf>
    <xf numFmtId="2" fontId="13" fillId="0" borderId="10" xfId="0" applyNumberFormat="1" applyFont="1" applyFill="1" applyBorder="1" applyAlignment="1">
      <alignment horizontal="center" vertical="center" wrapText="1"/>
    </xf>
    <xf numFmtId="4" fontId="13" fillId="0" borderId="10" xfId="0" applyNumberFormat="1" applyFont="1" applyFill="1" applyBorder="1" applyAlignment="1">
      <alignment horizontal="center" wrapText="1"/>
    </xf>
    <xf numFmtId="3" fontId="13" fillId="0" borderId="10" xfId="0" applyNumberFormat="1" applyFont="1" applyFill="1" applyBorder="1" applyAlignment="1">
      <alignment vertical="center" wrapText="1"/>
    </xf>
    <xf numFmtId="4" fontId="13" fillId="0" borderId="10" xfId="0" applyNumberFormat="1" applyFont="1" applyBorder="1" applyAlignment="1">
      <alignment horizontal="center" wrapText="1"/>
    </xf>
    <xf numFmtId="3" fontId="13" fillId="0" borderId="10" xfId="0" applyNumberFormat="1" applyFont="1" applyBorder="1" applyAlignment="1">
      <alignment vertical="center" wrapText="1"/>
    </xf>
    <xf numFmtId="0" fontId="13" fillId="0" borderId="22" xfId="0" applyFont="1" applyFill="1" applyBorder="1" applyAlignment="1">
      <alignment vertical="center" wrapText="1"/>
    </xf>
    <xf numFmtId="4" fontId="11" fillId="0" borderId="24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3" fillId="0" borderId="25" xfId="0" applyNumberFormat="1" applyFont="1" applyFill="1" applyBorder="1" applyAlignment="1">
      <alignment horizontal="center" wrapText="1"/>
    </xf>
    <xf numFmtId="4" fontId="13" fillId="0" borderId="24" xfId="0" applyNumberFormat="1" applyFont="1" applyFill="1" applyBorder="1" applyAlignment="1">
      <alignment horizontal="center" wrapText="1"/>
    </xf>
    <xf numFmtId="4" fontId="13" fillId="0" borderId="24" xfId="0" applyNumberFormat="1" applyFont="1" applyBorder="1" applyAlignment="1">
      <alignment horizontal="center" wrapText="1"/>
    </xf>
    <xf numFmtId="0" fontId="13" fillId="0" borderId="26" xfId="0" applyFont="1" applyFill="1" applyBorder="1" applyAlignment="1">
      <alignment vertical="center" wrapText="1"/>
    </xf>
    <xf numFmtId="4" fontId="11" fillId="0" borderId="28" xfId="0" applyNumberFormat="1" applyFont="1" applyFill="1" applyBorder="1" applyAlignment="1">
      <alignment horizontal="center" vertical="center" wrapText="1"/>
    </xf>
    <xf numFmtId="4" fontId="11" fillId="0" borderId="29" xfId="0" applyNumberFormat="1" applyFont="1" applyFill="1" applyBorder="1" applyAlignment="1">
      <alignment horizontal="center" vertical="center" wrapText="1"/>
    </xf>
    <xf numFmtId="4" fontId="13" fillId="0" borderId="30" xfId="0" applyNumberFormat="1" applyFont="1" applyFill="1" applyBorder="1" applyAlignment="1">
      <alignment horizontal="center" wrapText="1"/>
    </xf>
    <xf numFmtId="4" fontId="13" fillId="0" borderId="28" xfId="0" applyNumberFormat="1" applyFont="1" applyFill="1" applyBorder="1" applyAlignment="1">
      <alignment horizontal="center" wrapText="1"/>
    </xf>
    <xf numFmtId="4" fontId="13" fillId="0" borderId="28" xfId="0" applyNumberFormat="1" applyFont="1" applyBorder="1" applyAlignment="1">
      <alignment horizontal="center" wrapText="1"/>
    </xf>
    <xf numFmtId="0" fontId="13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4" fontId="11" fillId="0" borderId="35" xfId="0" applyNumberFormat="1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vertical="center" wrapText="1"/>
    </xf>
    <xf numFmtId="0" fontId="13" fillId="3" borderId="20" xfId="0" applyFont="1" applyFill="1" applyBorder="1" applyAlignment="1">
      <alignment horizontal="left" vertical="center" wrapText="1"/>
    </xf>
    <xf numFmtId="2" fontId="13" fillId="3" borderId="20" xfId="0" applyNumberFormat="1" applyFont="1" applyFill="1" applyBorder="1" applyAlignment="1">
      <alignment horizontal="center" vertical="center" wrapText="1"/>
    </xf>
    <xf numFmtId="4" fontId="17" fillId="3" borderId="47" xfId="0" applyNumberFormat="1" applyFont="1" applyFill="1" applyBorder="1" applyAlignment="1">
      <alignment horizontal="center" wrapText="1"/>
    </xf>
    <xf numFmtId="4" fontId="13" fillId="3" borderId="32" xfId="0" applyNumberFormat="1" applyFont="1" applyFill="1" applyBorder="1" applyAlignment="1">
      <alignment horizontal="center" wrapText="1"/>
    </xf>
    <xf numFmtId="4" fontId="13" fillId="3" borderId="20" xfId="0" applyNumberFormat="1" applyFont="1" applyFill="1" applyBorder="1" applyAlignment="1">
      <alignment horizontal="center" wrapText="1"/>
    </xf>
    <xf numFmtId="4" fontId="16" fillId="3" borderId="47" xfId="0" applyNumberFormat="1" applyFont="1" applyFill="1" applyBorder="1" applyAlignment="1">
      <alignment horizontal="center" wrapText="1"/>
    </xf>
    <xf numFmtId="4" fontId="16" fillId="3" borderId="21" xfId="0" applyNumberFormat="1" applyFont="1" applyFill="1" applyBorder="1" applyAlignment="1">
      <alignment horizontal="center" wrapText="1"/>
    </xf>
    <xf numFmtId="0" fontId="13" fillId="3" borderId="1" xfId="0" applyFont="1" applyFill="1" applyBorder="1" applyAlignment="1">
      <alignment horizontal="left" vertical="center" wrapText="1"/>
    </xf>
    <xf numFmtId="4" fontId="13" fillId="3" borderId="3" xfId="0" applyNumberFormat="1" applyFont="1" applyFill="1" applyBorder="1" applyAlignment="1">
      <alignment horizontal="center" wrapText="1"/>
    </xf>
    <xf numFmtId="4" fontId="13" fillId="3" borderId="5" xfId="0" applyNumberFormat="1" applyFont="1" applyFill="1" applyBorder="1" applyAlignment="1">
      <alignment horizontal="center" wrapText="1"/>
    </xf>
    <xf numFmtId="4" fontId="13" fillId="3" borderId="1" xfId="0" applyNumberFormat="1" applyFont="1" applyFill="1" applyBorder="1" applyAlignment="1">
      <alignment horizontal="center" wrapText="1"/>
    </xf>
    <xf numFmtId="4" fontId="13" fillId="3" borderId="25" xfId="0" applyNumberFormat="1" applyFont="1" applyFill="1" applyBorder="1" applyAlignment="1">
      <alignment horizontal="center" wrapText="1"/>
    </xf>
    <xf numFmtId="0" fontId="13" fillId="3" borderId="29" xfId="0" applyFont="1" applyFill="1" applyBorder="1" applyAlignment="1">
      <alignment horizontal="left" vertical="center" wrapText="1"/>
    </xf>
    <xf numFmtId="2" fontId="13" fillId="3" borderId="29" xfId="0" applyNumberFormat="1" applyFont="1" applyFill="1" applyBorder="1" applyAlignment="1">
      <alignment horizontal="center" vertical="center" wrapText="1"/>
    </xf>
    <xf numFmtId="4" fontId="13" fillId="3" borderId="48" xfId="0" applyNumberFormat="1" applyFont="1" applyFill="1" applyBorder="1" applyAlignment="1">
      <alignment horizontal="center" wrapText="1"/>
    </xf>
    <xf numFmtId="4" fontId="13" fillId="3" borderId="34" xfId="0" applyNumberFormat="1" applyFont="1" applyFill="1" applyBorder="1" applyAlignment="1">
      <alignment horizontal="center" wrapText="1"/>
    </xf>
    <xf numFmtId="4" fontId="13" fillId="3" borderId="29" xfId="0" applyNumberFormat="1" applyFont="1" applyFill="1" applyBorder="1" applyAlignment="1">
      <alignment horizontal="center" wrapText="1"/>
    </xf>
    <xf numFmtId="4" fontId="13" fillId="3" borderId="30" xfId="0" applyNumberFormat="1" applyFont="1" applyFill="1" applyBorder="1" applyAlignment="1">
      <alignment horizontal="center" wrapText="1"/>
    </xf>
    <xf numFmtId="0" fontId="13" fillId="3" borderId="10" xfId="0" applyFont="1" applyFill="1" applyBorder="1" applyAlignment="1">
      <alignment horizontal="left" vertical="center" wrapText="1"/>
    </xf>
    <xf numFmtId="2" fontId="13" fillId="3" borderId="10" xfId="0" applyNumberFormat="1" applyFont="1" applyFill="1" applyBorder="1" applyAlignment="1">
      <alignment horizontal="center" vertical="center" wrapText="1"/>
    </xf>
    <xf numFmtId="4" fontId="13" fillId="3" borderId="10" xfId="0" applyNumberFormat="1" applyFont="1" applyFill="1" applyBorder="1" applyAlignment="1">
      <alignment horizontal="center" wrapText="1"/>
    </xf>
    <xf numFmtId="3" fontId="13" fillId="3" borderId="10" xfId="0" applyNumberFormat="1" applyFont="1" applyFill="1" applyBorder="1" applyAlignment="1">
      <alignment vertical="center" wrapText="1"/>
    </xf>
    <xf numFmtId="0" fontId="18" fillId="3" borderId="10" xfId="0" applyFont="1" applyFill="1" applyBorder="1" applyAlignment="1">
      <alignment horizontal="left" vertical="center" wrapText="1"/>
    </xf>
    <xf numFmtId="0" fontId="18" fillId="3" borderId="10" xfId="0" applyFont="1" applyFill="1" applyBorder="1" applyAlignment="1">
      <alignment horizontal="center" vertical="center" wrapText="1"/>
    </xf>
    <xf numFmtId="2" fontId="18" fillId="3" borderId="10" xfId="0" applyNumberFormat="1" applyFont="1" applyFill="1" applyBorder="1" applyAlignment="1">
      <alignment horizontal="center" vertical="center" wrapText="1"/>
    </xf>
    <xf numFmtId="2" fontId="13" fillId="0" borderId="35" xfId="0" applyNumberFormat="1" applyFont="1" applyFill="1" applyBorder="1" applyAlignment="1">
      <alignment horizontal="left" wrapText="1"/>
    </xf>
    <xf numFmtId="2" fontId="13" fillId="0" borderId="10" xfId="0" applyNumberFormat="1" applyFont="1" applyFill="1" applyBorder="1" applyAlignment="1">
      <alignment horizontal="left" wrapText="1"/>
    </xf>
    <xf numFmtId="4" fontId="13" fillId="0" borderId="49" xfId="0" applyNumberFormat="1" applyFont="1" applyBorder="1" applyAlignment="1">
      <alignment horizontal="center" wrapText="1"/>
    </xf>
    <xf numFmtId="0" fontId="4" fillId="0" borderId="22" xfId="0" applyFont="1" applyFill="1" applyBorder="1" applyAlignment="1">
      <alignment wrapText="1"/>
    </xf>
    <xf numFmtId="4" fontId="11" fillId="0" borderId="25" xfId="0" applyNumberFormat="1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wrapText="1"/>
    </xf>
    <xf numFmtId="4" fontId="11" fillId="0" borderId="30" xfId="0" applyNumberFormat="1" applyFont="1" applyFill="1" applyBorder="1" applyAlignment="1">
      <alignment horizontal="center" vertical="center"/>
    </xf>
    <xf numFmtId="0" fontId="13" fillId="0" borderId="0" xfId="0" applyFont="1" applyBorder="1"/>
    <xf numFmtId="4" fontId="13" fillId="0" borderId="0" xfId="0" applyNumberFormat="1" applyFont="1" applyBorder="1" applyAlignment="1">
      <alignment horizontal="center"/>
    </xf>
    <xf numFmtId="4" fontId="13" fillId="0" borderId="0" xfId="0" applyNumberFormat="1" applyFont="1" applyBorder="1" applyAlignment="1">
      <alignment horizontal="center" wrapText="1"/>
    </xf>
    <xf numFmtId="4" fontId="13" fillId="0" borderId="0" xfId="0" applyNumberFormat="1" applyFont="1" applyBorder="1" applyAlignment="1">
      <alignment wrapText="1"/>
    </xf>
    <xf numFmtId="0" fontId="13" fillId="0" borderId="31" xfId="0" applyFont="1" applyBorder="1" applyAlignment="1">
      <alignment wrapText="1"/>
    </xf>
    <xf numFmtId="0" fontId="13" fillId="0" borderId="32" xfId="0" applyFont="1" applyBorder="1"/>
    <xf numFmtId="0" fontId="13" fillId="0" borderId="20" xfId="0" applyFont="1" applyBorder="1"/>
    <xf numFmtId="4" fontId="13" fillId="0" borderId="47" xfId="0" applyNumberFormat="1" applyFont="1" applyBorder="1"/>
    <xf numFmtId="4" fontId="13" fillId="0" borderId="32" xfId="0" applyNumberFormat="1" applyFont="1" applyBorder="1"/>
    <xf numFmtId="4" fontId="13" fillId="0" borderId="20" xfId="0" applyNumberFormat="1" applyFont="1" applyBorder="1"/>
    <xf numFmtId="4" fontId="13" fillId="0" borderId="47" xfId="0" applyNumberFormat="1" applyFont="1" applyBorder="1" applyAlignment="1">
      <alignment wrapText="1"/>
    </xf>
    <xf numFmtId="4" fontId="13" fillId="0" borderId="32" xfId="0" applyNumberFormat="1" applyFont="1" applyBorder="1" applyAlignment="1">
      <alignment wrapText="1"/>
    </xf>
    <xf numFmtId="4" fontId="13" fillId="0" borderId="20" xfId="0" applyNumberFormat="1" applyFont="1" applyBorder="1" applyAlignment="1">
      <alignment wrapText="1"/>
    </xf>
    <xf numFmtId="4" fontId="13" fillId="0" borderId="21" xfId="0" applyNumberFormat="1" applyFont="1" applyBorder="1" applyAlignment="1">
      <alignment wrapText="1"/>
    </xf>
    <xf numFmtId="0" fontId="13" fillId="0" borderId="33" xfId="0" applyFont="1" applyBorder="1" applyAlignment="1">
      <alignment wrapText="1"/>
    </xf>
    <xf numFmtId="0" fontId="13" fillId="0" borderId="34" xfId="0" applyFont="1" applyBorder="1"/>
    <xf numFmtId="0" fontId="13" fillId="0" borderId="29" xfId="0" applyFont="1" applyBorder="1"/>
    <xf numFmtId="4" fontId="13" fillId="0" borderId="48" xfId="0" applyNumberFormat="1" applyFont="1" applyBorder="1"/>
    <xf numFmtId="4" fontId="13" fillId="0" borderId="34" xfId="0" applyNumberFormat="1" applyFont="1" applyBorder="1"/>
    <xf numFmtId="4" fontId="13" fillId="0" borderId="29" xfId="0" applyNumberFormat="1" applyFont="1" applyBorder="1"/>
    <xf numFmtId="4" fontId="13" fillId="0" borderId="48" xfId="0" applyNumberFormat="1" applyFont="1" applyBorder="1" applyAlignment="1">
      <alignment wrapText="1"/>
    </xf>
    <xf numFmtId="4" fontId="13" fillId="0" borderId="34" xfId="0" applyNumberFormat="1" applyFont="1" applyBorder="1" applyAlignment="1">
      <alignment wrapText="1"/>
    </xf>
    <xf numFmtId="4" fontId="13" fillId="0" borderId="29" xfId="0" applyNumberFormat="1" applyFont="1" applyBorder="1" applyAlignment="1">
      <alignment wrapText="1"/>
    </xf>
    <xf numFmtId="4" fontId="13" fillId="0" borderId="30" xfId="0" applyNumberFormat="1" applyFont="1" applyBorder="1" applyAlignment="1">
      <alignment wrapText="1"/>
    </xf>
    <xf numFmtId="0" fontId="13" fillId="0" borderId="11" xfId="0" applyFont="1" applyBorder="1"/>
    <xf numFmtId="0" fontId="13" fillId="0" borderId="12" xfId="0" applyFont="1" applyBorder="1"/>
    <xf numFmtId="4" fontId="13" fillId="0" borderId="12" xfId="0" applyNumberFormat="1" applyFont="1" applyBorder="1"/>
    <xf numFmtId="0" fontId="13" fillId="0" borderId="0" xfId="0" applyFont="1"/>
    <xf numFmtId="4" fontId="13" fillId="0" borderId="0" xfId="0" applyNumberFormat="1" applyFont="1"/>
    <xf numFmtId="4" fontId="13" fillId="0" borderId="0" xfId="0" applyNumberFormat="1" applyFont="1" applyAlignment="1">
      <alignment wrapText="1"/>
    </xf>
    <xf numFmtId="4" fontId="0" fillId="0" borderId="0" xfId="0" applyNumberFormat="1" applyAlignment="1">
      <alignment wrapText="1"/>
    </xf>
    <xf numFmtId="4" fontId="0" fillId="0" borderId="43" xfId="0" applyNumberFormat="1" applyBorder="1"/>
    <xf numFmtId="4" fontId="19" fillId="0" borderId="20" xfId="0" applyNumberFormat="1" applyFont="1" applyFill="1" applyBorder="1" applyAlignment="1">
      <alignment horizontal="center" wrapText="1"/>
    </xf>
    <xf numFmtId="4" fontId="19" fillId="0" borderId="20" xfId="0" applyNumberFormat="1" applyFont="1" applyBorder="1" applyAlignment="1">
      <alignment horizontal="center" wrapText="1"/>
    </xf>
    <xf numFmtId="0" fontId="39" fillId="0" borderId="0" xfId="0" applyFont="1"/>
    <xf numFmtId="4" fontId="39" fillId="0" borderId="0" xfId="0" applyNumberFormat="1" applyFont="1"/>
    <xf numFmtId="0" fontId="19" fillId="0" borderId="17" xfId="0" applyFont="1" applyFill="1" applyBorder="1" applyAlignment="1">
      <alignment vertical="center" wrapText="1"/>
    </xf>
    <xf numFmtId="4" fontId="40" fillId="0" borderId="19" xfId="0" applyNumberFormat="1" applyFont="1" applyFill="1" applyBorder="1" applyAlignment="1">
      <alignment horizontal="center" vertical="center" wrapText="1"/>
    </xf>
    <xf numFmtId="0" fontId="40" fillId="0" borderId="20" xfId="0" applyFont="1" applyFill="1" applyBorder="1" applyAlignment="1">
      <alignment horizontal="left" vertical="center" wrapText="1"/>
    </xf>
    <xf numFmtId="2" fontId="40" fillId="0" borderId="20" xfId="0" applyNumberFormat="1" applyFont="1" applyFill="1" applyBorder="1" applyAlignment="1">
      <alignment horizontal="center" vertical="center" wrapText="1"/>
    </xf>
    <xf numFmtId="4" fontId="19" fillId="0" borderId="21" xfId="0" applyNumberFormat="1" applyFont="1" applyFill="1" applyBorder="1" applyAlignment="1">
      <alignment horizontal="center" wrapText="1"/>
    </xf>
    <xf numFmtId="4" fontId="19" fillId="0" borderId="19" xfId="0" applyNumberFormat="1" applyFont="1" applyFill="1" applyBorder="1" applyAlignment="1">
      <alignment horizontal="center" wrapText="1"/>
    </xf>
    <xf numFmtId="4" fontId="19" fillId="0" borderId="19" xfId="0" applyNumberFormat="1" applyFont="1" applyBorder="1" applyAlignment="1">
      <alignment horizontal="center" wrapText="1"/>
    </xf>
    <xf numFmtId="0" fontId="39" fillId="3" borderId="0" xfId="0" applyFont="1" applyFill="1"/>
    <xf numFmtId="0" fontId="10" fillId="0" borderId="17" xfId="0" applyFont="1" applyFill="1" applyBorder="1" applyAlignment="1">
      <alignment wrapText="1"/>
    </xf>
    <xf numFmtId="4" fontId="19" fillId="0" borderId="19" xfId="0" applyNumberFormat="1" applyFont="1" applyFill="1" applyBorder="1" applyAlignment="1">
      <alignment horizontal="center" vertical="center" wrapText="1"/>
    </xf>
    <xf numFmtId="4" fontId="19" fillId="0" borderId="20" xfId="0" applyNumberFormat="1" applyFont="1" applyFill="1" applyBorder="1" applyAlignment="1">
      <alignment horizontal="center" vertical="center" wrapText="1"/>
    </xf>
    <xf numFmtId="4" fontId="19" fillId="0" borderId="21" xfId="0" applyNumberFormat="1" applyFont="1" applyFill="1" applyBorder="1" applyAlignment="1">
      <alignment horizontal="center" vertical="center"/>
    </xf>
    <xf numFmtId="4" fontId="40" fillId="0" borderId="19" xfId="0" applyNumberFormat="1" applyFont="1" applyBorder="1" applyAlignment="1">
      <alignment horizontal="center" wrapText="1"/>
    </xf>
    <xf numFmtId="4" fontId="40" fillId="0" borderId="20" xfId="0" applyNumberFormat="1" applyFont="1" applyBorder="1" applyAlignment="1">
      <alignment horizontal="center" wrapText="1"/>
    </xf>
    <xf numFmtId="0" fontId="12" fillId="0" borderId="22" xfId="0" applyFont="1" applyFill="1" applyBorder="1" applyAlignment="1">
      <alignment wrapText="1"/>
    </xf>
    <xf numFmtId="4" fontId="19" fillId="0" borderId="24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4" fontId="19" fillId="0" borderId="25" xfId="0" applyNumberFormat="1" applyFont="1" applyFill="1" applyBorder="1" applyAlignment="1">
      <alignment horizontal="center" vertical="center"/>
    </xf>
    <xf numFmtId="4" fontId="40" fillId="0" borderId="24" xfId="0" applyNumberFormat="1" applyFont="1" applyBorder="1" applyAlignment="1">
      <alignment horizontal="center" wrapText="1"/>
    </xf>
    <xf numFmtId="4" fontId="40" fillId="0" borderId="1" xfId="0" applyNumberFormat="1" applyFont="1" applyBorder="1" applyAlignment="1">
      <alignment horizontal="center" wrapText="1"/>
    </xf>
    <xf numFmtId="4" fontId="40" fillId="0" borderId="25" xfId="0" applyNumberFormat="1" applyFont="1" applyBorder="1" applyAlignment="1">
      <alignment horizontal="center" wrapText="1"/>
    </xf>
    <xf numFmtId="0" fontId="24" fillId="7" borderId="8" xfId="3" applyFont="1" applyFill="1" applyBorder="1" applyAlignment="1">
      <alignment horizontal="center" vertical="center" wrapText="1"/>
    </xf>
    <xf numFmtId="4" fontId="9" fillId="7" borderId="1" xfId="3" applyNumberFormat="1" applyFont="1" applyFill="1" applyBorder="1" applyAlignment="1">
      <alignment horizontal="center" vertical="center" wrapText="1"/>
    </xf>
    <xf numFmtId="165" fontId="9" fillId="7" borderId="1" xfId="0" applyNumberFormat="1" applyFont="1" applyFill="1" applyBorder="1" applyAlignment="1">
      <alignment horizontal="center" vertical="center" wrapText="1"/>
    </xf>
    <xf numFmtId="4" fontId="9" fillId="7" borderId="0" xfId="0" applyNumberFormat="1" applyFont="1" applyFill="1"/>
    <xf numFmtId="0" fontId="9" fillId="7" borderId="0" xfId="0" applyFont="1" applyFill="1"/>
    <xf numFmtId="0" fontId="4" fillId="7" borderId="0" xfId="0" applyFont="1" applyFill="1"/>
    <xf numFmtId="0" fontId="0" fillId="7" borderId="0" xfId="0" applyFill="1"/>
    <xf numFmtId="4" fontId="9" fillId="7" borderId="1" xfId="0" applyNumberFormat="1" applyFont="1" applyFill="1" applyBorder="1" applyAlignment="1">
      <alignment horizontal="center" vertical="center" wrapText="1"/>
    </xf>
    <xf numFmtId="3" fontId="9" fillId="7" borderId="1" xfId="0" applyNumberFormat="1" applyFont="1" applyFill="1" applyBorder="1" applyAlignment="1">
      <alignment horizontal="center" vertical="center" wrapText="1"/>
    </xf>
    <xf numFmtId="0" fontId="36" fillId="7" borderId="0" xfId="0" applyFont="1" applyFill="1"/>
    <xf numFmtId="0" fontId="11" fillId="5" borderId="1" xfId="2" applyFont="1" applyFill="1" applyBorder="1" applyAlignment="1">
      <alignment horizontal="center" vertical="center" wrapText="1"/>
    </xf>
    <xf numFmtId="0" fontId="6" fillId="3" borderId="0" xfId="0" applyFont="1" applyFill="1"/>
    <xf numFmtId="2" fontId="6" fillId="3" borderId="1" xfId="0" applyNumberFormat="1" applyFont="1" applyFill="1" applyBorder="1" applyAlignment="1">
      <alignment wrapText="1"/>
    </xf>
    <xf numFmtId="1" fontId="42" fillId="3" borderId="1" xfId="0" applyNumberFormat="1" applyFont="1" applyFill="1" applyBorder="1" applyAlignment="1">
      <alignment horizontal="center" wrapText="1"/>
    </xf>
    <xf numFmtId="4" fontId="0" fillId="3" borderId="0" xfId="0" applyNumberFormat="1" applyFill="1" applyBorder="1"/>
    <xf numFmtId="1" fontId="6" fillId="3" borderId="1" xfId="0" applyNumberFormat="1" applyFont="1" applyFill="1" applyBorder="1" applyAlignment="1">
      <alignment wrapText="1"/>
    </xf>
    <xf numFmtId="4" fontId="6" fillId="3" borderId="0" xfId="0" applyNumberFormat="1" applyFont="1" applyFill="1" applyAlignment="1">
      <alignment horizontal="right"/>
    </xf>
    <xf numFmtId="4" fontId="6" fillId="3" borderId="0" xfId="0" applyNumberFormat="1" applyFont="1" applyFill="1"/>
    <xf numFmtId="4" fontId="6" fillId="3" borderId="1" xfId="0" applyNumberFormat="1" applyFont="1" applyFill="1" applyBorder="1" applyAlignment="1">
      <alignment horizontal="center" wrapText="1"/>
    </xf>
    <xf numFmtId="3" fontId="6" fillId="3" borderId="1" xfId="0" applyNumberFormat="1" applyFont="1" applyFill="1" applyBorder="1" applyAlignment="1">
      <alignment horizontal="center" wrapText="1"/>
    </xf>
    <xf numFmtId="4" fontId="6" fillId="3" borderId="1" xfId="0" applyNumberFormat="1" applyFont="1" applyFill="1" applyBorder="1" applyAlignment="1">
      <alignment wrapText="1"/>
    </xf>
    <xf numFmtId="4" fontId="6" fillId="3" borderId="5" xfId="0" applyNumberFormat="1" applyFont="1" applyFill="1" applyBorder="1" applyAlignment="1">
      <alignment wrapText="1"/>
    </xf>
    <xf numFmtId="2" fontId="6" fillId="3" borderId="0" xfId="0" applyNumberFormat="1" applyFont="1" applyFill="1" applyBorder="1" applyAlignment="1">
      <alignment wrapText="1"/>
    </xf>
    <xf numFmtId="4" fontId="6" fillId="3" borderId="0" xfId="0" applyNumberFormat="1" applyFont="1" applyFill="1" applyBorder="1" applyAlignment="1">
      <alignment wrapText="1"/>
    </xf>
    <xf numFmtId="2" fontId="6" fillId="3" borderId="0" xfId="0" applyNumberFormat="1" applyFont="1" applyFill="1" applyAlignment="1">
      <alignment wrapText="1"/>
    </xf>
    <xf numFmtId="4" fontId="6" fillId="3" borderId="0" xfId="0" applyNumberFormat="1" applyFont="1" applyFill="1" applyAlignment="1">
      <alignment wrapText="1"/>
    </xf>
    <xf numFmtId="0" fontId="6" fillId="3" borderId="1" xfId="0" applyFont="1" applyFill="1" applyBorder="1"/>
    <xf numFmtId="0" fontId="6" fillId="3" borderId="1" xfId="0" applyFont="1" applyFill="1" applyBorder="1" applyAlignment="1">
      <alignment horizontal="center"/>
    </xf>
    <xf numFmtId="4" fontId="6" fillId="3" borderId="1" xfId="0" applyNumberFormat="1" applyFont="1" applyFill="1" applyBorder="1"/>
    <xf numFmtId="4" fontId="35" fillId="0" borderId="0" xfId="0" applyNumberFormat="1" applyFont="1"/>
    <xf numFmtId="0" fontId="9" fillId="8" borderId="35" xfId="3" applyFont="1" applyFill="1" applyBorder="1" applyAlignment="1">
      <alignment horizontal="center" vertical="center" wrapText="1"/>
    </xf>
    <xf numFmtId="0" fontId="9" fillId="8" borderId="1" xfId="3" applyFont="1" applyFill="1" applyBorder="1" applyAlignment="1">
      <alignment vertical="center" wrapText="1"/>
    </xf>
    <xf numFmtId="166" fontId="9" fillId="8" borderId="1" xfId="0" applyNumberFormat="1" applyFont="1" applyFill="1" applyBorder="1" applyAlignment="1">
      <alignment horizontal="right" vertical="center" wrapText="1"/>
    </xf>
    <xf numFmtId="168" fontId="9" fillId="8" borderId="1" xfId="0" applyNumberFormat="1" applyFont="1" applyFill="1" applyBorder="1" applyAlignment="1">
      <alignment horizontal="right" vertical="center" wrapText="1"/>
    </xf>
    <xf numFmtId="3" fontId="34" fillId="8" borderId="1" xfId="0" applyNumberFormat="1" applyFont="1" applyFill="1" applyBorder="1" applyAlignment="1">
      <alignment horizontal="right" vertical="center" wrapText="1"/>
    </xf>
    <xf numFmtId="168" fontId="34" fillId="8" borderId="1" xfId="0" applyNumberFormat="1" applyFont="1" applyFill="1" applyBorder="1" applyAlignment="1">
      <alignment horizontal="right" vertical="center" wrapText="1"/>
    </xf>
    <xf numFmtId="3" fontId="9" fillId="8" borderId="1" xfId="0" applyNumberFormat="1" applyFont="1" applyFill="1" applyBorder="1" applyAlignment="1">
      <alignment horizontal="right"/>
    </xf>
    <xf numFmtId="3" fontId="9" fillId="8" borderId="1" xfId="0" applyNumberFormat="1" applyFont="1" applyFill="1" applyBorder="1" applyAlignment="1"/>
    <xf numFmtId="164" fontId="9" fillId="8" borderId="1" xfId="0" applyNumberFormat="1" applyFont="1" applyFill="1" applyBorder="1" applyAlignment="1">
      <alignment horizontal="right"/>
    </xf>
    <xf numFmtId="4" fontId="9" fillId="8" borderId="1" xfId="0" applyNumberFormat="1" applyFont="1" applyFill="1" applyBorder="1" applyAlignment="1">
      <alignment horizontal="right"/>
    </xf>
    <xf numFmtId="4" fontId="4" fillId="8" borderId="0" xfId="0" applyNumberFormat="1" applyFont="1" applyFill="1"/>
    <xf numFmtId="0" fontId="4" fillId="8" borderId="0" xfId="0" applyFont="1" applyFill="1"/>
    <xf numFmtId="0" fontId="0" fillId="8" borderId="0" xfId="0" applyFill="1"/>
    <xf numFmtId="4" fontId="9" fillId="8" borderId="1" xfId="0" applyNumberFormat="1" applyFont="1" applyFill="1" applyBorder="1" applyAlignment="1">
      <alignment horizontal="right" vertical="center" wrapText="1"/>
    </xf>
    <xf numFmtId="4" fontId="34" fillId="8" borderId="1" xfId="0" applyNumberFormat="1" applyFont="1" applyFill="1" applyBorder="1" applyAlignment="1">
      <alignment horizontal="right" vertical="center" wrapText="1"/>
    </xf>
    <xf numFmtId="165" fontId="34" fillId="8" borderId="1" xfId="0" applyNumberFormat="1" applyFont="1" applyFill="1" applyBorder="1" applyAlignment="1">
      <alignment horizontal="right" vertical="center" wrapText="1"/>
    </xf>
    <xf numFmtId="4" fontId="0" fillId="8" borderId="0" xfId="0" applyNumberFormat="1" applyFill="1"/>
    <xf numFmtId="2" fontId="13" fillId="0" borderId="29" xfId="0" applyNumberFormat="1" applyFont="1" applyBorder="1"/>
    <xf numFmtId="2" fontId="13" fillId="0" borderId="0" xfId="0" applyNumberFormat="1" applyFont="1" applyBorder="1"/>
    <xf numFmtId="4" fontId="6" fillId="3" borderId="5" xfId="0" applyNumberFormat="1" applyFont="1" applyFill="1" applyBorder="1"/>
    <xf numFmtId="168" fontId="27" fillId="4" borderId="44" xfId="0" applyNumberFormat="1" applyFont="1" applyFill="1" applyBorder="1" applyAlignment="1">
      <alignment horizontal="center" vertical="center" wrapText="1"/>
    </xf>
    <xf numFmtId="168" fontId="27" fillId="4" borderId="33" xfId="0" applyNumberFormat="1" applyFont="1" applyFill="1" applyBorder="1" applyAlignment="1">
      <alignment horizontal="center" vertical="center" wrapText="1"/>
    </xf>
    <xf numFmtId="168" fontId="27" fillId="4" borderId="5" xfId="0" applyNumberFormat="1" applyFont="1" applyFill="1" applyBorder="1" applyAlignment="1">
      <alignment horizontal="center" vertical="center" wrapText="1"/>
    </xf>
    <xf numFmtId="168" fontId="11" fillId="0" borderId="24" xfId="0" applyNumberFormat="1" applyFont="1" applyFill="1" applyBorder="1" applyAlignment="1">
      <alignment horizontal="center" vertical="center" wrapText="1"/>
    </xf>
    <xf numFmtId="168" fontId="13" fillId="0" borderId="24" xfId="0" applyNumberFormat="1" applyFont="1" applyBorder="1" applyAlignment="1">
      <alignment horizontal="center" wrapText="1"/>
    </xf>
    <xf numFmtId="168" fontId="11" fillId="0" borderId="28" xfId="0" applyNumberFormat="1" applyFont="1" applyFill="1" applyBorder="1" applyAlignment="1">
      <alignment horizontal="center" vertical="center" wrapText="1"/>
    </xf>
    <xf numFmtId="168" fontId="13" fillId="0" borderId="28" xfId="0" applyNumberFormat="1" applyFont="1" applyBorder="1" applyAlignment="1">
      <alignment horizontal="center" wrapText="1"/>
    </xf>
    <xf numFmtId="168" fontId="11" fillId="3" borderId="5" xfId="0" applyNumberFormat="1" applyFont="1" applyFill="1" applyBorder="1" applyAlignment="1">
      <alignment horizontal="center" vertical="center" wrapText="1"/>
    </xf>
    <xf numFmtId="168" fontId="11" fillId="3" borderId="34" xfId="0" applyNumberFormat="1" applyFont="1" applyFill="1" applyBorder="1" applyAlignment="1">
      <alignment horizontal="center" vertical="center" wrapText="1"/>
    </xf>
    <xf numFmtId="168" fontId="11" fillId="3" borderId="24" xfId="0" applyNumberFormat="1" applyFont="1" applyFill="1" applyBorder="1" applyAlignment="1">
      <alignment horizontal="center" vertical="center" wrapText="1"/>
    </xf>
    <xf numFmtId="168" fontId="11" fillId="3" borderId="28" xfId="0" applyNumberFormat="1" applyFont="1" applyFill="1" applyBorder="1" applyAlignment="1">
      <alignment horizontal="center" vertical="center" wrapText="1"/>
    </xf>
    <xf numFmtId="0" fontId="0" fillId="4" borderId="0" xfId="0" applyFill="1"/>
    <xf numFmtId="2" fontId="19" fillId="4" borderId="31" xfId="0" applyNumberFormat="1" applyFont="1" applyFill="1" applyBorder="1" applyAlignment="1">
      <alignment horizontal="left" wrapText="1"/>
    </xf>
    <xf numFmtId="2" fontId="40" fillId="4" borderId="32" xfId="0" applyNumberFormat="1" applyFont="1" applyFill="1" applyBorder="1" applyAlignment="1">
      <alignment horizontal="left" wrapText="1"/>
    </xf>
    <xf numFmtId="2" fontId="40" fillId="4" borderId="20" xfId="0" applyNumberFormat="1" applyFont="1" applyFill="1" applyBorder="1" applyAlignment="1">
      <alignment horizontal="left" wrapText="1"/>
    </xf>
    <xf numFmtId="4" fontId="19" fillId="4" borderId="47" xfId="0" applyNumberFormat="1" applyFont="1" applyFill="1" applyBorder="1" applyAlignment="1">
      <alignment horizontal="center" wrapText="1"/>
    </xf>
    <xf numFmtId="4" fontId="40" fillId="4" borderId="32" xfId="0" applyNumberFormat="1" applyFont="1" applyFill="1" applyBorder="1" applyAlignment="1">
      <alignment horizontal="center" wrapText="1"/>
    </xf>
    <xf numFmtId="4" fontId="40" fillId="4" borderId="20" xfId="0" applyNumberFormat="1" applyFont="1" applyFill="1" applyBorder="1" applyAlignment="1">
      <alignment horizontal="center" wrapText="1"/>
    </xf>
    <xf numFmtId="4" fontId="19" fillId="4" borderId="21" xfId="0" applyNumberFormat="1" applyFont="1" applyFill="1" applyBorder="1" applyAlignment="1">
      <alignment horizontal="center" wrapText="1"/>
    </xf>
    <xf numFmtId="4" fontId="39" fillId="4" borderId="0" xfId="0" applyNumberFormat="1" applyFont="1" applyFill="1"/>
    <xf numFmtId="4" fontId="0" fillId="4" borderId="0" xfId="0" applyNumberFormat="1" applyFill="1"/>
    <xf numFmtId="0" fontId="39" fillId="4" borderId="0" xfId="0" applyFont="1" applyFill="1"/>
    <xf numFmtId="2" fontId="13" fillId="4" borderId="44" xfId="0" applyNumberFormat="1" applyFont="1" applyFill="1" applyBorder="1" applyAlignment="1">
      <alignment horizontal="left" wrapText="1"/>
    </xf>
    <xf numFmtId="4" fontId="13" fillId="4" borderId="5" xfId="0" applyNumberFormat="1" applyFont="1" applyFill="1" applyBorder="1" applyAlignment="1">
      <alignment horizontal="left" wrapText="1"/>
    </xf>
    <xf numFmtId="4" fontId="13" fillId="4" borderId="1" xfId="0" applyNumberFormat="1" applyFont="1" applyFill="1" applyBorder="1" applyAlignment="1">
      <alignment horizontal="left" wrapText="1"/>
    </xf>
    <xf numFmtId="4" fontId="13" fillId="4" borderId="3" xfId="0" applyNumberFormat="1" applyFont="1" applyFill="1" applyBorder="1" applyAlignment="1">
      <alignment horizontal="center" wrapText="1"/>
    </xf>
    <xf numFmtId="4" fontId="13" fillId="4" borderId="5" xfId="0" applyNumberFormat="1" applyFont="1" applyFill="1" applyBorder="1" applyAlignment="1">
      <alignment horizontal="center" wrapText="1"/>
    </xf>
    <xf numFmtId="4" fontId="13" fillId="4" borderId="1" xfId="0" applyNumberFormat="1" applyFont="1" applyFill="1" applyBorder="1" applyAlignment="1">
      <alignment horizontal="center" wrapText="1"/>
    </xf>
    <xf numFmtId="4" fontId="13" fillId="4" borderId="25" xfId="0" applyNumberFormat="1" applyFont="1" applyFill="1" applyBorder="1" applyAlignment="1">
      <alignment horizontal="center" wrapText="1"/>
    </xf>
    <xf numFmtId="4" fontId="22" fillId="4" borderId="0" xfId="0" applyNumberFormat="1" applyFont="1" applyFill="1"/>
    <xf numFmtId="2" fontId="13" fillId="4" borderId="33" xfId="0" applyNumberFormat="1" applyFont="1" applyFill="1" applyBorder="1" applyAlignment="1">
      <alignment horizontal="left" wrapText="1"/>
    </xf>
    <xf numFmtId="4" fontId="13" fillId="4" borderId="34" xfId="0" applyNumberFormat="1" applyFont="1" applyFill="1" applyBorder="1" applyAlignment="1">
      <alignment horizontal="left" wrapText="1"/>
    </xf>
    <xf numFmtId="4" fontId="13" fillId="4" borderId="29" xfId="0" applyNumberFormat="1" applyFont="1" applyFill="1" applyBorder="1" applyAlignment="1">
      <alignment horizontal="left" wrapText="1"/>
    </xf>
    <xf numFmtId="4" fontId="13" fillId="4" borderId="48" xfId="0" applyNumberFormat="1" applyFont="1" applyFill="1" applyBorder="1" applyAlignment="1">
      <alignment horizontal="center" wrapText="1"/>
    </xf>
    <xf numFmtId="4" fontId="13" fillId="4" borderId="34" xfId="0" applyNumberFormat="1" applyFont="1" applyFill="1" applyBorder="1" applyAlignment="1">
      <alignment horizontal="center" wrapText="1"/>
    </xf>
    <xf numFmtId="4" fontId="13" fillId="4" borderId="29" xfId="0" applyNumberFormat="1" applyFont="1" applyFill="1" applyBorder="1" applyAlignment="1">
      <alignment horizontal="center" wrapText="1"/>
    </xf>
    <xf numFmtId="4" fontId="13" fillId="4" borderId="30" xfId="0" applyNumberFormat="1" applyFont="1" applyFill="1" applyBorder="1" applyAlignment="1">
      <alignment horizontal="center" wrapText="1"/>
    </xf>
    <xf numFmtId="0" fontId="19" fillId="4" borderId="19" xfId="0" applyFont="1" applyFill="1" applyBorder="1" applyAlignment="1">
      <alignment horizontal="left" vertical="center" wrapText="1"/>
    </xf>
    <xf numFmtId="0" fontId="40" fillId="4" borderId="20" xfId="0" applyFont="1" applyFill="1" applyBorder="1" applyAlignment="1">
      <alignment horizontal="left" vertical="center" wrapText="1"/>
    </xf>
    <xf numFmtId="2" fontId="40" fillId="4" borderId="20" xfId="0" applyNumberFormat="1" applyFont="1" applyFill="1" applyBorder="1" applyAlignment="1">
      <alignment horizontal="center" vertical="center" wrapText="1"/>
    </xf>
    <xf numFmtId="4" fontId="19" fillId="4" borderId="20" xfId="0" applyNumberFormat="1" applyFont="1" applyFill="1" applyBorder="1" applyAlignment="1">
      <alignment horizontal="center" wrapText="1"/>
    </xf>
    <xf numFmtId="0" fontId="18" fillId="4" borderId="24" xfId="0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center" vertical="center" wrapText="1"/>
    </xf>
    <xf numFmtId="2" fontId="18" fillId="4" borderId="1" xfId="0" applyNumberFormat="1" applyFont="1" applyFill="1" applyBorder="1" applyAlignment="1">
      <alignment horizontal="center" vertical="center" wrapText="1"/>
    </xf>
    <xf numFmtId="0" fontId="18" fillId="4" borderId="28" xfId="0" applyFont="1" applyFill="1" applyBorder="1" applyAlignment="1">
      <alignment horizontal="left" vertical="center" wrapText="1"/>
    </xf>
    <xf numFmtId="0" fontId="18" fillId="4" borderId="29" xfId="0" applyFont="1" applyFill="1" applyBorder="1" applyAlignment="1">
      <alignment horizontal="left" vertical="center" wrapText="1"/>
    </xf>
    <xf numFmtId="0" fontId="18" fillId="4" borderId="29" xfId="0" applyFont="1" applyFill="1" applyBorder="1" applyAlignment="1">
      <alignment horizontal="center" vertical="center" wrapText="1"/>
    </xf>
    <xf numFmtId="2" fontId="18" fillId="4" borderId="29" xfId="0" applyNumberFormat="1" applyFont="1" applyFill="1" applyBorder="1" applyAlignment="1">
      <alignment horizontal="center" vertical="center" wrapText="1"/>
    </xf>
    <xf numFmtId="0" fontId="19" fillId="4" borderId="31" xfId="0" applyFont="1" applyFill="1" applyBorder="1" applyAlignment="1">
      <alignment horizontal="left" vertical="center" wrapText="1"/>
    </xf>
    <xf numFmtId="0" fontId="19" fillId="4" borderId="32" xfId="0" applyFont="1" applyFill="1" applyBorder="1" applyAlignment="1">
      <alignment horizontal="left" vertical="center" wrapText="1"/>
    </xf>
    <xf numFmtId="0" fontId="19" fillId="4" borderId="20" xfId="0" applyFont="1" applyFill="1" applyBorder="1" applyAlignment="1">
      <alignment horizontal="left" vertical="center" wrapText="1"/>
    </xf>
    <xf numFmtId="4" fontId="19" fillId="4" borderId="32" xfId="0" applyNumberFormat="1" applyFont="1" applyFill="1" applyBorder="1" applyAlignment="1">
      <alignment horizontal="center" wrapText="1"/>
    </xf>
    <xf numFmtId="0" fontId="13" fillId="4" borderId="44" xfId="0" applyFont="1" applyFill="1" applyBorder="1" applyAlignment="1">
      <alignment horizontal="left" vertical="center" wrapText="1"/>
    </xf>
    <xf numFmtId="0" fontId="13" fillId="4" borderId="5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center" wrapText="1"/>
    </xf>
    <xf numFmtId="2" fontId="13" fillId="4" borderId="1" xfId="0" applyNumberFormat="1" applyFont="1" applyFill="1" applyBorder="1" applyAlignment="1">
      <alignment horizontal="center" vertical="center" wrapText="1"/>
    </xf>
    <xf numFmtId="166" fontId="13" fillId="4" borderId="5" xfId="0" applyNumberFormat="1" applyFont="1" applyFill="1" applyBorder="1" applyAlignment="1">
      <alignment horizontal="center" wrapText="1"/>
    </xf>
    <xf numFmtId="0" fontId="13" fillId="4" borderId="33" xfId="0" applyFont="1" applyFill="1" applyBorder="1" applyAlignment="1">
      <alignment horizontal="left" vertical="center" wrapText="1"/>
    </xf>
    <xf numFmtId="0" fontId="13" fillId="4" borderId="34" xfId="0" applyFont="1" applyFill="1" applyBorder="1" applyAlignment="1">
      <alignment horizontal="left" vertical="center" wrapText="1"/>
    </xf>
    <xf numFmtId="0" fontId="13" fillId="4" borderId="29" xfId="0" applyFont="1" applyFill="1" applyBorder="1" applyAlignment="1">
      <alignment horizontal="left" vertical="center" wrapText="1"/>
    </xf>
    <xf numFmtId="2" fontId="13" fillId="4" borderId="29" xfId="0" applyNumberFormat="1" applyFont="1" applyFill="1" applyBorder="1" applyAlignment="1">
      <alignment horizontal="center" vertical="center" wrapText="1"/>
    </xf>
    <xf numFmtId="168" fontId="13" fillId="4" borderId="34" xfId="0" applyNumberFormat="1" applyFont="1" applyFill="1" applyBorder="1" applyAlignment="1">
      <alignment horizontal="center" wrapText="1"/>
    </xf>
    <xf numFmtId="166" fontId="11" fillId="0" borderId="24" xfId="0" applyNumberFormat="1" applyFont="1" applyFill="1" applyBorder="1" applyAlignment="1">
      <alignment horizontal="center" vertical="center" wrapText="1"/>
    </xf>
    <xf numFmtId="165" fontId="9" fillId="7" borderId="1" xfId="3" applyNumberFormat="1" applyFont="1" applyFill="1" applyBorder="1" applyAlignment="1">
      <alignment horizontal="center" vertical="center" wrapText="1"/>
    </xf>
    <xf numFmtId="4" fontId="28" fillId="0" borderId="0" xfId="0" applyNumberFormat="1" applyFont="1"/>
    <xf numFmtId="0" fontId="5" fillId="0" borderId="1" xfId="0" applyFont="1" applyBorder="1" applyAlignment="1">
      <alignment horizontal="center" wrapText="1"/>
    </xf>
    <xf numFmtId="1" fontId="6" fillId="3" borderId="1" xfId="0" applyNumberFormat="1" applyFont="1" applyFill="1" applyBorder="1" applyAlignment="1">
      <alignment horizontal="center" wrapText="1"/>
    </xf>
    <xf numFmtId="2" fontId="6" fillId="3" borderId="1" xfId="0" applyNumberFormat="1" applyFont="1" applyFill="1" applyBorder="1" applyAlignment="1">
      <alignment horizontal="center" wrapText="1"/>
    </xf>
    <xf numFmtId="169" fontId="6" fillId="3" borderId="1" xfId="0" applyNumberFormat="1" applyFont="1" applyFill="1" applyBorder="1" applyAlignment="1">
      <alignment horizontal="center" wrapText="1"/>
    </xf>
    <xf numFmtId="1" fontId="6" fillId="3" borderId="3" xfId="0" applyNumberFormat="1" applyFont="1" applyFill="1" applyBorder="1" applyAlignment="1">
      <alignment horizontal="center" wrapText="1"/>
    </xf>
    <xf numFmtId="4" fontId="6" fillId="3" borderId="3" xfId="0" applyNumberFormat="1" applyFont="1" applyFill="1" applyBorder="1" applyAlignment="1">
      <alignment horizontal="center" wrapText="1"/>
    </xf>
    <xf numFmtId="2" fontId="42" fillId="3" borderId="1" xfId="0" applyNumberFormat="1" applyFont="1" applyFill="1" applyBorder="1" applyAlignment="1">
      <alignment wrapText="1"/>
    </xf>
    <xf numFmtId="4" fontId="6" fillId="3" borderId="0" xfId="0" applyNumberFormat="1" applyFont="1" applyFill="1" applyBorder="1"/>
    <xf numFmtId="0" fontId="9" fillId="0" borderId="6" xfId="0" applyFont="1" applyBorder="1" applyAlignment="1">
      <alignment horizont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1" applyFont="1" applyFill="1" applyBorder="1" applyAlignment="1">
      <alignment horizontal="center" vertical="center" wrapText="1"/>
    </xf>
    <xf numFmtId="0" fontId="11" fillId="2" borderId="8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center" vertical="center" wrapText="1"/>
    </xf>
    <xf numFmtId="4" fontId="13" fillId="3" borderId="10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7" xfId="1" applyFont="1" applyFill="1" applyBorder="1" applyAlignment="1">
      <alignment horizontal="center" vertical="center" wrapText="1"/>
    </xf>
    <xf numFmtId="0" fontId="13" fillId="3" borderId="8" xfId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wrapText="1"/>
    </xf>
    <xf numFmtId="0" fontId="13" fillId="3" borderId="3" xfId="0" applyFont="1" applyFill="1" applyBorder="1" applyAlignment="1">
      <alignment horizontal="center" wrapText="1"/>
    </xf>
    <xf numFmtId="0" fontId="13" fillId="3" borderId="4" xfId="0" applyFont="1" applyFill="1" applyBorder="1" applyAlignment="1">
      <alignment horizontal="center" wrapText="1"/>
    </xf>
    <xf numFmtId="0" fontId="4" fillId="0" borderId="11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3" fontId="11" fillId="3" borderId="36" xfId="0" applyNumberFormat="1" applyFont="1" applyFill="1" applyBorder="1" applyAlignment="1">
      <alignment horizontal="center" vertical="center" wrapText="1"/>
    </xf>
    <xf numFmtId="3" fontId="11" fillId="3" borderId="0" xfId="0" applyNumberFormat="1" applyFont="1" applyFill="1" applyBorder="1" applyAlignment="1">
      <alignment horizontal="center" vertical="center" wrapText="1"/>
    </xf>
    <xf numFmtId="3" fontId="11" fillId="3" borderId="37" xfId="0" applyNumberFormat="1" applyFont="1" applyFill="1" applyBorder="1" applyAlignment="1">
      <alignment horizontal="center" vertical="center" wrapText="1"/>
    </xf>
    <xf numFmtId="4" fontId="11" fillId="3" borderId="38" xfId="0" applyNumberFormat="1" applyFont="1" applyFill="1" applyBorder="1" applyAlignment="1">
      <alignment horizontal="center" vertical="center" wrapText="1"/>
    </xf>
    <xf numFmtId="4" fontId="11" fillId="3" borderId="39" xfId="0" applyNumberFormat="1" applyFont="1" applyFill="1" applyBorder="1" applyAlignment="1">
      <alignment horizontal="center" vertical="center" wrapText="1"/>
    </xf>
    <xf numFmtId="4" fontId="11" fillId="3" borderId="38" xfId="0" applyNumberFormat="1" applyFont="1" applyFill="1" applyBorder="1" applyAlignment="1">
      <alignment horizontal="center" vertical="center"/>
    </xf>
    <xf numFmtId="4" fontId="11" fillId="3" borderId="10" xfId="0" applyNumberFormat="1" applyFont="1" applyFill="1" applyBorder="1" applyAlignment="1">
      <alignment horizontal="center" vertical="center"/>
    </xf>
    <xf numFmtId="3" fontId="11" fillId="3" borderId="41" xfId="0" applyNumberFormat="1" applyFont="1" applyFill="1" applyBorder="1" applyAlignment="1">
      <alignment horizontal="center" vertical="center"/>
    </xf>
    <xf numFmtId="3" fontId="11" fillId="3" borderId="4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29" xfId="0" applyFont="1" applyFill="1" applyBorder="1" applyAlignment="1">
      <alignment horizontal="center" vertical="center"/>
    </xf>
    <xf numFmtId="3" fontId="11" fillId="3" borderId="18" xfId="0" applyNumberFormat="1" applyFont="1" applyFill="1" applyBorder="1" applyAlignment="1">
      <alignment horizontal="center" vertical="center" wrapText="1"/>
    </xf>
    <xf numFmtId="3" fontId="11" fillId="3" borderId="23" xfId="0" applyNumberFormat="1" applyFont="1" applyFill="1" applyBorder="1" applyAlignment="1">
      <alignment horizontal="center" vertical="center" wrapText="1"/>
    </xf>
    <xf numFmtId="3" fontId="11" fillId="3" borderId="27" xfId="0" applyNumberFormat="1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29" xfId="0" applyFont="1" applyFill="1" applyBorder="1" applyAlignment="1">
      <alignment horizontal="center" vertical="center" wrapText="1"/>
    </xf>
    <xf numFmtId="3" fontId="11" fillId="3" borderId="41" xfId="0" applyNumberFormat="1" applyFont="1" applyFill="1" applyBorder="1" applyAlignment="1">
      <alignment horizontal="center" vertical="center" wrapText="1"/>
    </xf>
    <xf numFmtId="3" fontId="11" fillId="3" borderId="40" xfId="0" applyNumberFormat="1" applyFont="1" applyFill="1" applyBorder="1" applyAlignment="1">
      <alignment horizontal="center" vertical="center" wrapText="1"/>
    </xf>
    <xf numFmtId="3" fontId="11" fillId="3" borderId="42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wrapText="1"/>
    </xf>
    <xf numFmtId="0" fontId="11" fillId="0" borderId="13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horizontal="center" wrapText="1"/>
    </xf>
    <xf numFmtId="0" fontId="11" fillId="0" borderId="15" xfId="0" applyFont="1" applyFill="1" applyBorder="1" applyAlignment="1">
      <alignment horizontal="center" wrapText="1"/>
    </xf>
    <xf numFmtId="170" fontId="6" fillId="3" borderId="1" xfId="0" applyNumberFormat="1" applyFont="1" applyFill="1" applyBorder="1" applyAlignment="1">
      <alignment horizontal="center" wrapText="1"/>
    </xf>
    <xf numFmtId="4" fontId="6" fillId="3" borderId="3" xfId="1" applyNumberFormat="1" applyFont="1" applyFill="1" applyBorder="1" applyAlignment="1">
      <alignment horizontal="left" wrapText="1"/>
    </xf>
    <xf numFmtId="4" fontId="6" fillId="3" borderId="4" xfId="1" applyNumberFormat="1" applyFont="1" applyFill="1" applyBorder="1" applyAlignment="1">
      <alignment horizontal="left" wrapText="1"/>
    </xf>
    <xf numFmtId="4" fontId="6" fillId="3" borderId="5" xfId="1" applyNumberFormat="1" applyFont="1" applyFill="1" applyBorder="1" applyAlignment="1">
      <alignment horizontal="left" wrapText="1"/>
    </xf>
    <xf numFmtId="2" fontId="6" fillId="3" borderId="1" xfId="0" applyNumberFormat="1" applyFont="1" applyFill="1" applyBorder="1" applyAlignment="1">
      <alignment horizontal="center" wrapText="1"/>
    </xf>
    <xf numFmtId="1" fontId="6" fillId="3" borderId="1" xfId="0" applyNumberFormat="1" applyFont="1" applyFill="1" applyBorder="1" applyAlignment="1">
      <alignment horizontal="center" wrapText="1"/>
    </xf>
    <xf numFmtId="1" fontId="6" fillId="3" borderId="1" xfId="0" applyNumberFormat="1" applyFont="1" applyFill="1" applyBorder="1" applyAlignment="1">
      <alignment horizontal="left" wrapText="1"/>
    </xf>
    <xf numFmtId="170" fontId="6" fillId="3" borderId="3" xfId="0" applyNumberFormat="1" applyFont="1" applyFill="1" applyBorder="1" applyAlignment="1">
      <alignment horizontal="center"/>
    </xf>
    <xf numFmtId="170" fontId="6" fillId="3" borderId="5" xfId="0" applyNumberFormat="1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1" fontId="6" fillId="3" borderId="3" xfId="0" applyNumberFormat="1" applyFont="1" applyFill="1" applyBorder="1" applyAlignment="1">
      <alignment horizontal="left" wrapText="1"/>
    </xf>
    <xf numFmtId="1" fontId="6" fillId="3" borderId="4" xfId="0" applyNumberFormat="1" applyFont="1" applyFill="1" applyBorder="1" applyAlignment="1">
      <alignment horizontal="left" wrapText="1"/>
    </xf>
    <xf numFmtId="1" fontId="6" fillId="3" borderId="5" xfId="0" applyNumberFormat="1" applyFont="1" applyFill="1" applyBorder="1" applyAlignment="1">
      <alignment horizontal="left" wrapText="1"/>
    </xf>
    <xf numFmtId="170" fontId="6" fillId="3" borderId="3" xfId="0" applyNumberFormat="1" applyFont="1" applyFill="1" applyBorder="1" applyAlignment="1">
      <alignment horizontal="center" wrapText="1"/>
    </xf>
    <xf numFmtId="170" fontId="6" fillId="3" borderId="5" xfId="0" applyNumberFormat="1" applyFont="1" applyFill="1" applyBorder="1" applyAlignment="1">
      <alignment horizontal="center" wrapText="1"/>
    </xf>
    <xf numFmtId="2" fontId="6" fillId="3" borderId="1" xfId="0" applyNumberFormat="1" applyFont="1" applyFill="1" applyBorder="1" applyAlignment="1">
      <alignment horizontal="left" wrapText="1"/>
    </xf>
    <xf numFmtId="2" fontId="6" fillId="3" borderId="3" xfId="0" applyNumberFormat="1" applyFont="1" applyFill="1" applyBorder="1" applyAlignment="1">
      <alignment horizontal="left" wrapText="1"/>
    </xf>
    <xf numFmtId="2" fontId="6" fillId="3" borderId="4" xfId="0" applyNumberFormat="1" applyFont="1" applyFill="1" applyBorder="1" applyAlignment="1">
      <alignment horizontal="left" wrapText="1"/>
    </xf>
    <xf numFmtId="2" fontId="6" fillId="3" borderId="5" xfId="0" applyNumberFormat="1" applyFont="1" applyFill="1" applyBorder="1" applyAlignment="1">
      <alignment horizontal="left" wrapText="1"/>
    </xf>
    <xf numFmtId="2" fontId="7" fillId="3" borderId="1" xfId="0" applyNumberFormat="1" applyFont="1" applyFill="1" applyBorder="1" applyAlignment="1">
      <alignment horizontal="center" wrapText="1"/>
    </xf>
    <xf numFmtId="2" fontId="7" fillId="3" borderId="1" xfId="0" applyNumberFormat="1" applyFont="1" applyFill="1" applyBorder="1" applyAlignment="1">
      <alignment horizontal="left" wrapText="1"/>
    </xf>
    <xf numFmtId="0" fontId="6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 wrapText="1"/>
    </xf>
    <xf numFmtId="49" fontId="7" fillId="3" borderId="0" xfId="0" applyNumberFormat="1" applyFont="1" applyFill="1" applyAlignment="1">
      <alignment horizontal="center"/>
    </xf>
    <xf numFmtId="0" fontId="43" fillId="3" borderId="0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173" fontId="6" fillId="3" borderId="1" xfId="4" applyNumberFormat="1" applyFont="1" applyFill="1" applyBorder="1" applyAlignment="1">
      <alignment horizontal="center" vertical="center" wrapText="1"/>
    </xf>
    <xf numFmtId="173" fontId="6" fillId="3" borderId="1" xfId="0" applyNumberFormat="1" applyFont="1" applyFill="1" applyBorder="1" applyAlignment="1">
      <alignment horizontal="center" wrapText="1"/>
    </xf>
    <xf numFmtId="167" fontId="6" fillId="3" borderId="1" xfId="0" applyNumberFormat="1" applyFont="1" applyFill="1" applyBorder="1" applyAlignment="1">
      <alignment horizontal="center" wrapText="1"/>
    </xf>
    <xf numFmtId="169" fontId="6" fillId="3" borderId="1" xfId="0" applyNumberFormat="1" applyFont="1" applyFill="1" applyBorder="1" applyAlignment="1">
      <alignment horizontal="center" wrapText="1"/>
    </xf>
    <xf numFmtId="0" fontId="7" fillId="3" borderId="0" xfId="0" applyFont="1" applyFill="1" applyAlignment="1">
      <alignment horizontal="center"/>
    </xf>
    <xf numFmtId="171" fontId="6" fillId="3" borderId="1" xfId="0" applyNumberFormat="1" applyFont="1" applyFill="1" applyBorder="1" applyAlignment="1">
      <alignment horizontal="center" wrapText="1"/>
    </xf>
    <xf numFmtId="4" fontId="7" fillId="3" borderId="0" xfId="0" applyNumberFormat="1" applyFont="1" applyFill="1" applyAlignment="1">
      <alignment horizontal="center" wrapText="1"/>
    </xf>
    <xf numFmtId="0" fontId="6" fillId="3" borderId="0" xfId="0" applyFont="1" applyFill="1" applyAlignment="1">
      <alignment horizontal="center" wrapText="1"/>
    </xf>
    <xf numFmtId="0" fontId="6" fillId="3" borderId="0" xfId="0" applyFont="1" applyFill="1" applyAlignment="1">
      <alignment horizontal="right"/>
    </xf>
    <xf numFmtId="169" fontId="6" fillId="3" borderId="3" xfId="0" applyNumberFormat="1" applyFont="1" applyFill="1" applyBorder="1" applyAlignment="1">
      <alignment horizontal="center"/>
    </xf>
    <xf numFmtId="169" fontId="6" fillId="3" borderId="5" xfId="0" applyNumberFormat="1" applyFont="1" applyFill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49" fontId="8" fillId="0" borderId="0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2" fontId="7" fillId="0" borderId="1" xfId="0" applyNumberFormat="1" applyFont="1" applyBorder="1" applyAlignment="1">
      <alignment horizontal="left" wrapText="1"/>
    </xf>
    <xf numFmtId="4" fontId="5" fillId="0" borderId="3" xfId="0" applyNumberFormat="1" applyFont="1" applyBorder="1" applyAlignment="1">
      <alignment horizontal="center" wrapText="1"/>
    </xf>
    <xf numFmtId="4" fontId="5" fillId="0" borderId="4" xfId="0" applyNumberFormat="1" applyFont="1" applyBorder="1" applyAlignment="1">
      <alignment horizontal="center" wrapText="1"/>
    </xf>
    <xf numFmtId="4" fontId="5" fillId="0" borderId="5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3" fontId="5" fillId="0" borderId="3" xfId="0" applyNumberFormat="1" applyFont="1" applyBorder="1" applyAlignment="1">
      <alignment horizontal="center" wrapText="1"/>
    </xf>
    <xf numFmtId="3" fontId="5" fillId="0" borderId="4" xfId="0" applyNumberFormat="1" applyFont="1" applyBorder="1" applyAlignment="1">
      <alignment horizontal="center" wrapText="1"/>
    </xf>
    <xf numFmtId="3" fontId="5" fillId="0" borderId="5" xfId="0" applyNumberFormat="1" applyFont="1" applyBorder="1" applyAlignment="1">
      <alignment horizontal="center" wrapText="1"/>
    </xf>
    <xf numFmtId="1" fontId="6" fillId="0" borderId="3" xfId="0" applyNumberFormat="1" applyFont="1" applyBorder="1" applyAlignment="1">
      <alignment horizontal="center" wrapText="1"/>
    </xf>
    <xf numFmtId="1" fontId="6" fillId="0" borderId="5" xfId="0" applyNumberFormat="1" applyFont="1" applyBorder="1" applyAlignment="1">
      <alignment horizontal="center" wrapText="1"/>
    </xf>
    <xf numFmtId="1" fontId="6" fillId="0" borderId="4" xfId="0" applyNumberFormat="1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left" wrapText="1"/>
    </xf>
    <xf numFmtId="2" fontId="6" fillId="0" borderId="3" xfId="0" applyNumberFormat="1" applyFont="1" applyBorder="1" applyAlignment="1">
      <alignment horizontal="left" wrapText="1"/>
    </xf>
    <xf numFmtId="2" fontId="6" fillId="0" borderId="4" xfId="0" applyNumberFormat="1" applyFont="1" applyBorder="1" applyAlignment="1">
      <alignment horizontal="left" wrapText="1"/>
    </xf>
    <xf numFmtId="2" fontId="6" fillId="0" borderId="5" xfId="0" applyNumberFormat="1" applyFont="1" applyBorder="1" applyAlignment="1">
      <alignment horizontal="left" wrapText="1"/>
    </xf>
    <xf numFmtId="2" fontId="7" fillId="0" borderId="1" xfId="0" applyNumberFormat="1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center" wrapText="1"/>
    </xf>
    <xf numFmtId="3" fontId="9" fillId="3" borderId="7" xfId="3" applyNumberFormat="1" applyFont="1" applyFill="1" applyBorder="1" applyAlignment="1">
      <alignment horizontal="center" vertical="center" wrapText="1"/>
    </xf>
    <xf numFmtId="3" fontId="9" fillId="3" borderId="10" xfId="3" applyNumberFormat="1" applyFont="1" applyFill="1" applyBorder="1" applyAlignment="1">
      <alignment horizontal="center" vertical="center" wrapText="1"/>
    </xf>
    <xf numFmtId="3" fontId="9" fillId="3" borderId="8" xfId="3" applyNumberFormat="1" applyFont="1" applyFill="1" applyBorder="1" applyAlignment="1">
      <alignment horizontal="center" vertical="center" wrapText="1"/>
    </xf>
    <xf numFmtId="3" fontId="9" fillId="3" borderId="1" xfId="3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24" fillId="2" borderId="7" xfId="3" applyFont="1" applyFill="1" applyBorder="1" applyAlignment="1">
      <alignment horizontal="center" vertical="center" wrapText="1"/>
    </xf>
    <xf numFmtId="0" fontId="24" fillId="2" borderId="8" xfId="3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wrapText="1"/>
    </xf>
    <xf numFmtId="0" fontId="24" fillId="2" borderId="3" xfId="3" applyFont="1" applyFill="1" applyBorder="1" applyAlignment="1">
      <alignment horizontal="center" vertical="center" wrapText="1"/>
    </xf>
    <xf numFmtId="0" fontId="24" fillId="2" borderId="4" xfId="3" applyFont="1" applyFill="1" applyBorder="1" applyAlignment="1">
      <alignment horizontal="center" vertical="center" wrapText="1"/>
    </xf>
    <xf numFmtId="0" fontId="24" fillId="2" borderId="5" xfId="3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7" xfId="3" applyFont="1" applyFill="1" applyBorder="1" applyAlignment="1">
      <alignment horizontal="center" vertical="center" wrapText="1"/>
    </xf>
    <xf numFmtId="0" fontId="9" fillId="2" borderId="10" xfId="3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center" wrapText="1"/>
    </xf>
    <xf numFmtId="0" fontId="37" fillId="2" borderId="3" xfId="3" applyFont="1" applyFill="1" applyBorder="1" applyAlignment="1">
      <alignment horizontal="center" vertical="center" wrapText="1"/>
    </xf>
    <xf numFmtId="0" fontId="37" fillId="2" borderId="4" xfId="3" applyFont="1" applyFill="1" applyBorder="1" applyAlignment="1">
      <alignment horizontal="center" vertical="center" wrapText="1"/>
    </xf>
    <xf numFmtId="0" fontId="37" fillId="2" borderId="1" xfId="3" applyFont="1" applyFill="1" applyBorder="1" applyAlignment="1">
      <alignment horizontal="center" vertical="center" wrapText="1"/>
    </xf>
    <xf numFmtId="3" fontId="9" fillId="3" borderId="7" xfId="0" applyNumberFormat="1" applyFont="1" applyFill="1" applyBorder="1" applyAlignment="1">
      <alignment horizontal="center" vertical="center" wrapText="1"/>
    </xf>
    <xf numFmtId="3" fontId="9" fillId="3" borderId="10" xfId="0" applyNumberFormat="1" applyFont="1" applyFill="1" applyBorder="1" applyAlignment="1">
      <alignment horizontal="center" vertical="center" wrapText="1"/>
    </xf>
    <xf numFmtId="3" fontId="9" fillId="3" borderId="8" xfId="0" applyNumberFormat="1" applyFont="1" applyFill="1" applyBorder="1" applyAlignment="1">
      <alignment horizontal="center" vertical="center" wrapText="1"/>
    </xf>
    <xf numFmtId="3" fontId="9" fillId="3" borderId="7" xfId="0" applyNumberFormat="1" applyFont="1" applyFill="1" applyBorder="1" applyAlignment="1">
      <alignment horizontal="right" vertical="center" wrapText="1"/>
    </xf>
    <xf numFmtId="3" fontId="9" fillId="3" borderId="10" xfId="0" applyNumberFormat="1" applyFont="1" applyFill="1" applyBorder="1" applyAlignment="1">
      <alignment horizontal="right" vertical="center" wrapText="1"/>
    </xf>
    <xf numFmtId="3" fontId="9" fillId="3" borderId="8" xfId="0" applyNumberFormat="1" applyFont="1" applyFill="1" applyBorder="1" applyAlignment="1">
      <alignment horizontal="right" vertical="center" wrapText="1"/>
    </xf>
    <xf numFmtId="0" fontId="9" fillId="3" borderId="7" xfId="3" applyFont="1" applyFill="1" applyBorder="1" applyAlignment="1">
      <alignment horizontal="right" vertical="center" wrapText="1"/>
    </xf>
    <xf numFmtId="0" fontId="9" fillId="3" borderId="10" xfId="3" applyFont="1" applyFill="1" applyBorder="1" applyAlignment="1">
      <alignment horizontal="right" vertical="center" wrapText="1"/>
    </xf>
    <xf numFmtId="0" fontId="9" fillId="3" borderId="8" xfId="3" applyFont="1" applyFill="1" applyBorder="1" applyAlignment="1">
      <alignment horizontal="right" vertical="center" wrapText="1"/>
    </xf>
    <xf numFmtId="4" fontId="9" fillId="3" borderId="7" xfId="3" applyNumberFormat="1" applyFont="1" applyFill="1" applyBorder="1" applyAlignment="1">
      <alignment horizontal="right" vertical="center" wrapText="1"/>
    </xf>
    <xf numFmtId="4" fontId="9" fillId="3" borderId="10" xfId="3" applyNumberFormat="1" applyFont="1" applyFill="1" applyBorder="1" applyAlignment="1">
      <alignment horizontal="right" vertical="center" wrapText="1"/>
    </xf>
    <xf numFmtId="4" fontId="9" fillId="3" borderId="8" xfId="3" applyNumberFormat="1" applyFont="1" applyFill="1" applyBorder="1" applyAlignment="1">
      <alignment horizontal="right" vertical="center" wrapText="1"/>
    </xf>
    <xf numFmtId="3" fontId="9" fillId="3" borderId="1" xfId="0" applyNumberFormat="1" applyFont="1" applyFill="1" applyBorder="1" applyAlignment="1">
      <alignment horizontal="center" vertical="center" wrapText="1"/>
    </xf>
    <xf numFmtId="3" fontId="9" fillId="3" borderId="1" xfId="0" applyNumberFormat="1" applyFont="1" applyFill="1" applyBorder="1" applyAlignment="1">
      <alignment horizontal="right" vertical="center" wrapText="1"/>
    </xf>
    <xf numFmtId="4" fontId="9" fillId="3" borderId="1" xfId="0" applyNumberFormat="1" applyFont="1" applyFill="1" applyBorder="1" applyAlignment="1">
      <alignment horizontal="right"/>
    </xf>
    <xf numFmtId="0" fontId="9" fillId="3" borderId="1" xfId="3" applyFont="1" applyFill="1" applyBorder="1" applyAlignment="1">
      <alignment horizontal="right" vertical="center" wrapText="1"/>
    </xf>
    <xf numFmtId="4" fontId="9" fillId="3" borderId="1" xfId="3" applyNumberFormat="1" applyFont="1" applyFill="1" applyBorder="1" applyAlignment="1">
      <alignment horizontal="right" vertical="center" wrapText="1"/>
    </xf>
    <xf numFmtId="0" fontId="24" fillId="6" borderId="3" xfId="0" applyFont="1" applyFill="1" applyBorder="1" applyAlignment="1">
      <alignment horizontal="center" wrapText="1"/>
    </xf>
    <xf numFmtId="0" fontId="24" fillId="6" borderId="4" xfId="0" applyFont="1" applyFill="1" applyBorder="1" applyAlignment="1">
      <alignment horizontal="center" wrapText="1"/>
    </xf>
    <xf numFmtId="0" fontId="24" fillId="6" borderId="5" xfId="0" applyFont="1" applyFill="1" applyBorder="1" applyAlignment="1">
      <alignment horizontal="center" wrapText="1"/>
    </xf>
    <xf numFmtId="0" fontId="24" fillId="6" borderId="3" xfId="3" applyFont="1" applyFill="1" applyBorder="1" applyAlignment="1">
      <alignment horizontal="center" vertical="center" wrapText="1"/>
    </xf>
    <xf numFmtId="0" fontId="24" fillId="6" borderId="4" xfId="3" applyFont="1" applyFill="1" applyBorder="1" applyAlignment="1">
      <alignment horizontal="center" vertical="center" wrapText="1"/>
    </xf>
    <xf numFmtId="0" fontId="24" fillId="6" borderId="5" xfId="3" applyFont="1" applyFill="1" applyBorder="1" applyAlignment="1">
      <alignment horizontal="center" vertical="center" wrapText="1"/>
    </xf>
    <xf numFmtId="3" fontId="11" fillId="0" borderId="17" xfId="0" applyNumberFormat="1" applyFont="1" applyFill="1" applyBorder="1" applyAlignment="1">
      <alignment horizontal="center" vertical="center" wrapText="1"/>
    </xf>
    <xf numFmtId="3" fontId="11" fillId="0" borderId="22" xfId="0" applyNumberFormat="1" applyFont="1" applyFill="1" applyBorder="1" applyAlignment="1">
      <alignment horizontal="center" vertical="center" wrapText="1"/>
    </xf>
    <xf numFmtId="3" fontId="11" fillId="0" borderId="26" xfId="0" applyNumberFormat="1" applyFont="1" applyFill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3" fontId="11" fillId="0" borderId="22" xfId="0" applyNumberFormat="1" applyFont="1" applyBorder="1" applyAlignment="1">
      <alignment horizontal="center" vertical="center" wrapText="1"/>
    </xf>
    <xf numFmtId="3" fontId="11" fillId="0" borderId="26" xfId="0" applyNumberFormat="1" applyFont="1" applyBorder="1" applyAlignment="1">
      <alignment horizontal="center" vertical="center" wrapText="1"/>
    </xf>
    <xf numFmtId="3" fontId="11" fillId="4" borderId="18" xfId="0" applyNumberFormat="1" applyFont="1" applyFill="1" applyBorder="1" applyAlignment="1">
      <alignment horizontal="center" vertical="center" wrapText="1"/>
    </xf>
    <xf numFmtId="3" fontId="11" fillId="4" borderId="23" xfId="0" applyNumberFormat="1" applyFont="1" applyFill="1" applyBorder="1" applyAlignment="1">
      <alignment horizontal="center" vertical="center" wrapText="1"/>
    </xf>
    <xf numFmtId="3" fontId="11" fillId="4" borderId="27" xfId="0" applyNumberFormat="1" applyFont="1" applyFill="1" applyBorder="1" applyAlignment="1">
      <alignment horizontal="center" vertical="center" wrapText="1"/>
    </xf>
    <xf numFmtId="3" fontId="11" fillId="4" borderId="38" xfId="0" applyNumberFormat="1" applyFont="1" applyFill="1" applyBorder="1" applyAlignment="1">
      <alignment horizontal="center" vertical="center" wrapText="1"/>
    </xf>
    <xf numFmtId="3" fontId="11" fillId="4" borderId="10" xfId="0" applyNumberFormat="1" applyFont="1" applyFill="1" applyBorder="1" applyAlignment="1">
      <alignment horizontal="center" vertical="center" wrapText="1"/>
    </xf>
    <xf numFmtId="3" fontId="11" fillId="4" borderId="39" xfId="0" applyNumberFormat="1" applyFont="1" applyFill="1" applyBorder="1" applyAlignment="1">
      <alignment horizontal="center" vertical="center" wrapText="1"/>
    </xf>
    <xf numFmtId="3" fontId="11" fillId="0" borderId="18" xfId="0" applyNumberFormat="1" applyFont="1" applyBorder="1" applyAlignment="1">
      <alignment horizontal="center" vertical="center" wrapText="1"/>
    </xf>
    <xf numFmtId="3" fontId="11" fillId="0" borderId="27" xfId="0" applyNumberFormat="1" applyFont="1" applyBorder="1" applyAlignment="1">
      <alignment horizontal="center" vertical="center" wrapText="1"/>
    </xf>
    <xf numFmtId="3" fontId="11" fillId="0" borderId="18" xfId="0" applyNumberFormat="1" applyFont="1" applyBorder="1" applyAlignment="1">
      <alignment horizontal="center" vertical="center"/>
    </xf>
    <xf numFmtId="3" fontId="11" fillId="0" borderId="27" xfId="0" applyNumberFormat="1" applyFont="1" applyBorder="1" applyAlignment="1">
      <alignment horizontal="center" vertical="center"/>
    </xf>
    <xf numFmtId="3" fontId="11" fillId="0" borderId="63" xfId="0" applyNumberFormat="1" applyFont="1" applyFill="1" applyBorder="1" applyAlignment="1">
      <alignment horizontal="center" vertical="center" wrapText="1"/>
    </xf>
    <xf numFmtId="3" fontId="11" fillId="0" borderId="69" xfId="0" applyNumberFormat="1" applyFont="1" applyFill="1" applyBorder="1" applyAlignment="1">
      <alignment horizontal="center" vertical="center" wrapText="1"/>
    </xf>
    <xf numFmtId="3" fontId="11" fillId="0" borderId="66" xfId="0" applyNumberFormat="1" applyFont="1" applyFill="1" applyBorder="1" applyAlignment="1">
      <alignment horizontal="center" vertical="center" wrapText="1"/>
    </xf>
    <xf numFmtId="3" fontId="11" fillId="0" borderId="36" xfId="0" applyNumberFormat="1" applyFont="1" applyFill="1" applyBorder="1" applyAlignment="1">
      <alignment horizontal="center" vertical="center" wrapText="1"/>
    </xf>
    <xf numFmtId="3" fontId="11" fillId="0" borderId="0" xfId="0" applyNumberFormat="1" applyFont="1" applyFill="1" applyBorder="1" applyAlignment="1">
      <alignment horizontal="center" vertical="center" wrapText="1"/>
    </xf>
    <xf numFmtId="3" fontId="11" fillId="0" borderId="37" xfId="0" applyNumberFormat="1" applyFont="1" applyFill="1" applyBorder="1" applyAlignment="1">
      <alignment horizontal="center" vertical="center" wrapText="1"/>
    </xf>
    <xf numFmtId="3" fontId="11" fillId="0" borderId="36" xfId="0" applyNumberFormat="1" applyFont="1" applyBorder="1" applyAlignment="1">
      <alignment horizontal="center" vertical="center"/>
    </xf>
    <xf numFmtId="3" fontId="11" fillId="0" borderId="0" xfId="0" applyNumberFormat="1" applyFont="1" applyBorder="1" applyAlignment="1">
      <alignment horizontal="center" vertical="center"/>
    </xf>
    <xf numFmtId="3" fontId="11" fillId="0" borderId="37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0" fontId="11" fillId="2" borderId="7" xfId="2" applyFont="1" applyFill="1" applyBorder="1" applyAlignment="1">
      <alignment horizontal="center" vertical="center" wrapText="1"/>
    </xf>
    <xf numFmtId="0" fontId="11" fillId="2" borderId="8" xfId="2" applyFont="1" applyFill="1" applyBorder="1" applyAlignment="1">
      <alignment horizontal="center" vertical="center" wrapText="1"/>
    </xf>
    <xf numFmtId="0" fontId="11" fillId="2" borderId="64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1" fillId="2" borderId="65" xfId="2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3" fontId="11" fillId="0" borderId="10" xfId="0" applyNumberFormat="1" applyFont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1" fillId="5" borderId="1" xfId="2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wrapText="1"/>
    </xf>
    <xf numFmtId="0" fontId="27" fillId="0" borderId="18" xfId="0" applyFont="1" applyFill="1" applyBorder="1" applyAlignment="1">
      <alignment horizontal="center" vertical="center" wrapText="1"/>
    </xf>
    <xf numFmtId="0" fontId="27" fillId="0" borderId="23" xfId="0" applyFont="1" applyFill="1" applyBorder="1" applyAlignment="1">
      <alignment horizontal="center" vertical="center" wrapText="1"/>
    </xf>
    <xf numFmtId="0" fontId="27" fillId="0" borderId="27" xfId="0" applyFont="1" applyFill="1" applyBorder="1" applyAlignment="1">
      <alignment horizontal="center" vertical="center" wrapText="1"/>
    </xf>
    <xf numFmtId="3" fontId="27" fillId="0" borderId="18" xfId="0" applyNumberFormat="1" applyFont="1" applyFill="1" applyBorder="1" applyAlignment="1">
      <alignment horizontal="center" vertical="center" wrapText="1"/>
    </xf>
    <xf numFmtId="3" fontId="27" fillId="0" borderId="23" xfId="0" applyNumberFormat="1" applyFont="1" applyFill="1" applyBorder="1" applyAlignment="1">
      <alignment horizontal="center" vertical="center" wrapText="1"/>
    </xf>
    <xf numFmtId="3" fontId="27" fillId="0" borderId="27" xfId="0" applyNumberFormat="1" applyFont="1" applyFill="1" applyBorder="1" applyAlignment="1">
      <alignment horizontal="center" vertical="center" wrapText="1"/>
    </xf>
    <xf numFmtId="3" fontId="27" fillId="3" borderId="18" xfId="0" applyNumberFormat="1" applyFont="1" applyFill="1" applyBorder="1" applyAlignment="1">
      <alignment horizontal="center" vertical="center" wrapText="1"/>
    </xf>
    <xf numFmtId="3" fontId="27" fillId="3" borderId="23" xfId="0" applyNumberFormat="1" applyFont="1" applyFill="1" applyBorder="1" applyAlignment="1">
      <alignment horizontal="center" vertical="center" wrapText="1"/>
    </xf>
    <xf numFmtId="3" fontId="27" fillId="3" borderId="27" xfId="0" applyNumberFormat="1" applyFont="1" applyFill="1" applyBorder="1" applyAlignment="1">
      <alignment horizontal="center" vertical="center" wrapText="1"/>
    </xf>
    <xf numFmtId="0" fontId="27" fillId="3" borderId="38" xfId="0" applyFont="1" applyFill="1" applyBorder="1" applyAlignment="1">
      <alignment horizontal="center" vertical="center" wrapText="1"/>
    </xf>
    <xf numFmtId="0" fontId="27" fillId="3" borderId="10" xfId="0" applyFont="1" applyFill="1" applyBorder="1" applyAlignment="1">
      <alignment horizontal="center" vertical="center" wrapText="1"/>
    </xf>
    <xf numFmtId="0" fontId="27" fillId="3" borderId="39" xfId="0" applyFont="1" applyFill="1" applyBorder="1" applyAlignment="1">
      <alignment horizontal="center" vertical="center" wrapText="1"/>
    </xf>
    <xf numFmtId="4" fontId="9" fillId="0" borderId="0" xfId="0" applyNumberFormat="1" applyFont="1" applyBorder="1" applyAlignment="1">
      <alignment horizontal="center" wrapText="1"/>
    </xf>
    <xf numFmtId="0" fontId="27" fillId="0" borderId="13" xfId="0" applyFont="1" applyFill="1" applyBorder="1" applyAlignment="1">
      <alignment horizontal="center" wrapText="1"/>
    </xf>
    <xf numFmtId="0" fontId="27" fillId="0" borderId="14" xfId="0" applyFont="1" applyFill="1" applyBorder="1" applyAlignment="1">
      <alignment horizontal="center" wrapText="1"/>
    </xf>
    <xf numFmtId="0" fontId="27" fillId="0" borderId="15" xfId="0" applyFont="1" applyFill="1" applyBorder="1" applyAlignment="1">
      <alignment horizontal="center" wrapText="1"/>
    </xf>
    <xf numFmtId="4" fontId="27" fillId="3" borderId="13" xfId="0" applyNumberFormat="1" applyFont="1" applyFill="1" applyBorder="1" applyAlignment="1">
      <alignment horizontal="center" wrapText="1"/>
    </xf>
    <xf numFmtId="4" fontId="27" fillId="3" borderId="14" xfId="0" applyNumberFormat="1" applyFont="1" applyFill="1" applyBorder="1" applyAlignment="1">
      <alignment horizontal="center" wrapText="1"/>
    </xf>
    <xf numFmtId="0" fontId="4" fillId="0" borderId="56" xfId="0" applyFont="1" applyBorder="1" applyAlignment="1">
      <alignment horizontal="left" wrapText="1"/>
    </xf>
    <xf numFmtId="0" fontId="4" fillId="0" borderId="39" xfId="0" applyFont="1" applyBorder="1" applyAlignment="1">
      <alignment horizontal="left" wrapText="1"/>
    </xf>
    <xf numFmtId="0" fontId="27" fillId="0" borderId="47" xfId="0" applyFont="1" applyBorder="1" applyAlignment="1">
      <alignment horizontal="center"/>
    </xf>
    <xf numFmtId="0" fontId="27" fillId="0" borderId="68" xfId="0" applyFont="1" applyBorder="1" applyAlignment="1">
      <alignment horizontal="center"/>
    </xf>
    <xf numFmtId="0" fontId="27" fillId="0" borderId="32" xfId="0" applyFont="1" applyBorder="1" applyAlignment="1">
      <alignment horizontal="center"/>
    </xf>
    <xf numFmtId="0" fontId="27" fillId="3" borderId="18" xfId="0" applyFont="1" applyFill="1" applyBorder="1" applyAlignment="1">
      <alignment horizontal="center" vertic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7" xfId="0" applyFont="1" applyFill="1" applyBorder="1" applyAlignment="1">
      <alignment horizontal="center" vertical="center" wrapText="1"/>
    </xf>
    <xf numFmtId="3" fontId="33" fillId="0" borderId="60" xfId="0" applyNumberFormat="1" applyFont="1" applyBorder="1" applyAlignment="1">
      <alignment horizontal="center" vertical="center"/>
    </xf>
    <xf numFmtId="3" fontId="33" fillId="0" borderId="58" xfId="0" applyNumberFormat="1" applyFont="1" applyBorder="1" applyAlignment="1">
      <alignment horizontal="center" vertical="center"/>
    </xf>
    <xf numFmtId="3" fontId="33" fillId="0" borderId="36" xfId="0" applyNumberFormat="1" applyFont="1" applyBorder="1" applyAlignment="1">
      <alignment horizontal="center" vertical="center"/>
    </xf>
    <xf numFmtId="3" fontId="33" fillId="0" borderId="37" xfId="0" applyNumberFormat="1" applyFont="1" applyBorder="1" applyAlignment="1">
      <alignment horizontal="center" vertical="center"/>
    </xf>
    <xf numFmtId="0" fontId="27" fillId="3" borderId="7" xfId="0" applyFont="1" applyFill="1" applyBorder="1" applyAlignment="1">
      <alignment horizontal="center" vertical="center" wrapText="1"/>
    </xf>
    <xf numFmtId="0" fontId="27" fillId="3" borderId="8" xfId="0" applyFont="1" applyFill="1" applyBorder="1" applyAlignment="1">
      <alignment horizontal="center" vertical="center" wrapText="1"/>
    </xf>
    <xf numFmtId="0" fontId="27" fillId="3" borderId="7" xfId="1" applyFont="1" applyFill="1" applyBorder="1" applyAlignment="1">
      <alignment horizontal="center" vertical="center" wrapText="1"/>
    </xf>
    <xf numFmtId="0" fontId="27" fillId="3" borderId="8" xfId="1" applyFont="1" applyFill="1" applyBorder="1" applyAlignment="1">
      <alignment horizontal="center" vertical="center" wrapText="1"/>
    </xf>
    <xf numFmtId="0" fontId="27" fillId="3" borderId="3" xfId="1" applyFont="1" applyFill="1" applyBorder="1" applyAlignment="1">
      <alignment horizontal="center" vertical="center" wrapText="1"/>
    </xf>
    <xf numFmtId="0" fontId="27" fillId="3" borderId="4" xfId="1" applyFont="1" applyFill="1" applyBorder="1" applyAlignment="1">
      <alignment horizontal="center" vertical="center" wrapText="1"/>
    </xf>
    <xf numFmtId="0" fontId="27" fillId="3" borderId="5" xfId="1" applyFont="1" applyFill="1" applyBorder="1" applyAlignment="1">
      <alignment horizontal="center" vertical="center" wrapText="1"/>
    </xf>
    <xf numFmtId="0" fontId="27" fillId="0" borderId="6" xfId="0" applyFont="1" applyBorder="1" applyAlignment="1">
      <alignment horizontal="center" wrapText="1"/>
    </xf>
    <xf numFmtId="0" fontId="27" fillId="2" borderId="7" xfId="0" applyFont="1" applyFill="1" applyBorder="1" applyAlignment="1">
      <alignment horizontal="center" vertical="center" wrapText="1"/>
    </xf>
    <xf numFmtId="0" fontId="27" fillId="2" borderId="8" xfId="0" applyFont="1" applyFill="1" applyBorder="1" applyAlignment="1">
      <alignment horizontal="center" vertical="center" wrapText="1"/>
    </xf>
    <xf numFmtId="0" fontId="27" fillId="2" borderId="7" xfId="1" applyFont="1" applyFill="1" applyBorder="1" applyAlignment="1">
      <alignment horizontal="center" vertical="center" wrapText="1"/>
    </xf>
    <xf numFmtId="0" fontId="27" fillId="2" borderId="8" xfId="1" applyFont="1" applyFill="1" applyBorder="1" applyAlignment="1">
      <alignment horizontal="center" vertical="center" wrapText="1"/>
    </xf>
    <xf numFmtId="0" fontId="27" fillId="2" borderId="3" xfId="1" applyFont="1" applyFill="1" applyBorder="1" applyAlignment="1">
      <alignment horizontal="center" vertical="center" wrapText="1"/>
    </xf>
    <xf numFmtId="0" fontId="27" fillId="2" borderId="4" xfId="1" applyFont="1" applyFill="1" applyBorder="1" applyAlignment="1">
      <alignment horizontal="center" vertical="center" wrapText="1"/>
    </xf>
    <xf numFmtId="0" fontId="27" fillId="2" borderId="5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4" fontId="27" fillId="3" borderId="1" xfId="0" applyNumberFormat="1" applyFont="1" applyFill="1" applyBorder="1" applyAlignment="1">
      <alignment horizontal="center" wrapText="1"/>
    </xf>
    <xf numFmtId="4" fontId="27" fillId="3" borderId="7" xfId="0" applyNumberFormat="1" applyFont="1" applyFill="1" applyBorder="1" applyAlignment="1">
      <alignment horizontal="center" wrapText="1"/>
    </xf>
    <xf numFmtId="4" fontId="27" fillId="3" borderId="8" xfId="0" applyNumberFormat="1" applyFont="1" applyFill="1" applyBorder="1" applyAlignment="1">
      <alignment horizontal="center" wrapText="1"/>
    </xf>
    <xf numFmtId="4" fontId="11" fillId="3" borderId="7" xfId="0" applyNumberFormat="1" applyFont="1" applyFill="1" applyBorder="1" applyAlignment="1">
      <alignment horizontal="center" vertical="center" wrapText="1"/>
    </xf>
    <xf numFmtId="4" fontId="11" fillId="3" borderId="10" xfId="0" applyNumberFormat="1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/>
    </xf>
    <xf numFmtId="0" fontId="9" fillId="3" borderId="27" xfId="0" applyFont="1" applyFill="1" applyBorder="1" applyAlignment="1">
      <alignment horizontal="center" vertical="center"/>
    </xf>
    <xf numFmtId="3" fontId="11" fillId="3" borderId="40" xfId="0" applyNumberFormat="1" applyFont="1" applyFill="1" applyBorder="1" applyAlignment="1">
      <alignment horizontal="center" vertical="center"/>
    </xf>
    <xf numFmtId="4" fontId="11" fillId="3" borderId="39" xfId="0" applyNumberFormat="1" applyFont="1" applyFill="1" applyBorder="1" applyAlignment="1">
      <alignment horizontal="center" vertical="center"/>
    </xf>
    <xf numFmtId="0" fontId="11" fillId="3" borderId="45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46" xfId="0" applyFont="1" applyFill="1" applyBorder="1" applyAlignment="1">
      <alignment horizont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15" xfId="0" applyFont="1" applyFill="1" applyBorder="1" applyAlignment="1">
      <alignment horizont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4" fontId="11" fillId="3" borderId="23" xfId="0" applyNumberFormat="1" applyFont="1" applyFill="1" applyBorder="1" applyAlignment="1">
      <alignment horizontal="center" vertical="center" wrapText="1"/>
    </xf>
    <xf numFmtId="4" fontId="11" fillId="3" borderId="27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/>
    </xf>
    <xf numFmtId="4" fontId="11" fillId="3" borderId="18" xfId="0" applyNumberFormat="1" applyFont="1" applyFill="1" applyBorder="1" applyAlignment="1">
      <alignment horizontal="center" vertical="center"/>
    </xf>
    <xf numFmtId="4" fontId="11" fillId="3" borderId="27" xfId="0" applyNumberFormat="1" applyFont="1" applyFill="1" applyBorder="1" applyAlignment="1">
      <alignment horizontal="center" vertical="center"/>
    </xf>
    <xf numFmtId="4" fontId="11" fillId="3" borderId="23" xfId="0" applyNumberFormat="1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/>
    </xf>
    <xf numFmtId="2" fontId="7" fillId="3" borderId="3" xfId="0" applyNumberFormat="1" applyFont="1" applyFill="1" applyBorder="1" applyAlignment="1">
      <alignment horizontal="center" wrapText="1"/>
    </xf>
    <xf numFmtId="2" fontId="7" fillId="3" borderId="4" xfId="0" applyNumberFormat="1" applyFont="1" applyFill="1" applyBorder="1" applyAlignment="1">
      <alignment horizontal="center" wrapText="1"/>
    </xf>
    <xf numFmtId="2" fontId="7" fillId="3" borderId="5" xfId="0" applyNumberFormat="1" applyFont="1" applyFill="1" applyBorder="1" applyAlignment="1">
      <alignment horizontal="center" wrapText="1"/>
    </xf>
    <xf numFmtId="1" fontId="6" fillId="3" borderId="3" xfId="0" applyNumberFormat="1" applyFont="1" applyFill="1" applyBorder="1" applyAlignment="1">
      <alignment horizontal="center" wrapText="1"/>
    </xf>
    <xf numFmtId="1" fontId="6" fillId="3" borderId="4" xfId="0" applyNumberFormat="1" applyFont="1" applyFill="1" applyBorder="1" applyAlignment="1">
      <alignment horizontal="center" wrapText="1"/>
    </xf>
    <xf numFmtId="1" fontId="6" fillId="3" borderId="5" xfId="0" applyNumberFormat="1" applyFont="1" applyFill="1" applyBorder="1" applyAlignment="1">
      <alignment horizontal="center" wrapText="1"/>
    </xf>
    <xf numFmtId="2" fontId="6" fillId="3" borderId="3" xfId="0" applyNumberFormat="1" applyFont="1" applyFill="1" applyBorder="1" applyAlignment="1">
      <alignment horizontal="center" wrapText="1"/>
    </xf>
    <xf numFmtId="2" fontId="6" fillId="3" borderId="4" xfId="0" applyNumberFormat="1" applyFont="1" applyFill="1" applyBorder="1" applyAlignment="1">
      <alignment horizontal="center" wrapText="1"/>
    </xf>
    <xf numFmtId="2" fontId="6" fillId="3" borderId="5" xfId="0" applyNumberFormat="1" applyFont="1" applyFill="1" applyBorder="1" applyAlignment="1">
      <alignment horizontal="center" wrapText="1"/>
    </xf>
    <xf numFmtId="2" fontId="7" fillId="3" borderId="0" xfId="0" applyNumberFormat="1" applyFont="1" applyFill="1" applyAlignment="1">
      <alignment horizontal="center" wrapText="1"/>
    </xf>
    <xf numFmtId="4" fontId="6" fillId="3" borderId="1" xfId="1" applyNumberFormat="1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/>
    </xf>
    <xf numFmtId="172" fontId="6" fillId="3" borderId="1" xfId="4" applyNumberFormat="1" applyFont="1" applyFill="1" applyBorder="1" applyAlignment="1">
      <alignment horizontal="center" vertical="center" wrapText="1"/>
    </xf>
    <xf numFmtId="172" fontId="6" fillId="3" borderId="1" xfId="0" applyNumberFormat="1" applyFont="1" applyFill="1" applyBorder="1" applyAlignment="1">
      <alignment horizontal="center" wrapText="1"/>
    </xf>
    <xf numFmtId="2" fontId="7" fillId="3" borderId="3" xfId="0" applyNumberFormat="1" applyFont="1" applyFill="1" applyBorder="1" applyAlignment="1">
      <alignment horizontal="left" wrapText="1"/>
    </xf>
    <xf numFmtId="1" fontId="42" fillId="3" borderId="3" xfId="0" applyNumberFormat="1" applyFont="1" applyFill="1" applyBorder="1" applyAlignment="1">
      <alignment horizontal="center" wrapText="1"/>
    </xf>
    <xf numFmtId="1" fontId="42" fillId="3" borderId="4" xfId="0" applyNumberFormat="1" applyFont="1" applyFill="1" applyBorder="1" applyAlignment="1">
      <alignment horizontal="center" wrapText="1"/>
    </xf>
    <xf numFmtId="1" fontId="42" fillId="3" borderId="5" xfId="0" applyNumberFormat="1" applyFont="1" applyFill="1" applyBorder="1" applyAlignment="1">
      <alignment horizontal="center" wrapText="1"/>
    </xf>
    <xf numFmtId="171" fontId="42" fillId="3" borderId="3" xfId="0" applyNumberFormat="1" applyFont="1" applyFill="1" applyBorder="1" applyAlignment="1">
      <alignment horizontal="center" wrapText="1"/>
    </xf>
    <xf numFmtId="171" fontId="42" fillId="3" borderId="5" xfId="0" applyNumberFormat="1" applyFont="1" applyFill="1" applyBorder="1" applyAlignment="1">
      <alignment horizontal="center" wrapText="1"/>
    </xf>
    <xf numFmtId="167" fontId="6" fillId="3" borderId="3" xfId="0" applyNumberFormat="1" applyFont="1" applyFill="1" applyBorder="1" applyAlignment="1">
      <alignment horizontal="center" wrapText="1"/>
    </xf>
    <xf numFmtId="167" fontId="6" fillId="3" borderId="5" xfId="0" applyNumberFormat="1" applyFont="1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11" fillId="0" borderId="45" xfId="0" applyFont="1" applyFill="1" applyBorder="1" applyAlignment="1">
      <alignment horizontal="center" wrapText="1"/>
    </xf>
    <xf numFmtId="0" fontId="11" fillId="0" borderId="46" xfId="0" applyFont="1" applyFill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/&#1053;&#1086;&#1074;&#1072;&#1103;%20&#1087;&#1072;&#1087;&#1082;&#1072;/&#1073;&#1091;&#1094;&#1082;&#1072;&#1103;%20&#1089;&#1074;&#1077;&#1090;&#1072;/&#1060;&#1048;&#1053;&#1040;&#1053;&#1057;&#1054;&#1042;&#1054;&#1045;%20&#1059;&#1055;&#1056;&#1040;&#1042;&#1051;&#1045;&#1053;&#1048;&#1045;/2021%20&#1075;&#1086;&#1076;/&#1088;&#1072;&#1089;&#1095;&#1077;&#1090;&#1099;%20&#1082;%20&#1085;&#1086;&#1088;&#1084;&#1072;&#1090;&#1080;&#1074;&#1085;&#1099;&#1084;%20&#1079;&#1072;&#1090;&#1088;&#1072;&#1090;&#1072;&#1084;/&#1055;&#1088;&#1080;&#1084;&#1077;&#1088;%20&#1088;&#1072;&#1089;&#1095;&#1077;&#1090;&#1072;%20&#1044;&#1064;&#1048;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 (ннсому)"/>
      <sheetName val="норматив (ннсому) 2"/>
      <sheetName val="норматив (ннсому) 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"/>
  <sheetViews>
    <sheetView workbookViewId="0">
      <selection sqref="A1:N1"/>
    </sheetView>
  </sheetViews>
  <sheetFormatPr defaultRowHeight="15" x14ac:dyDescent="0.25"/>
  <cols>
    <col min="1" max="1" width="3.28515625" customWidth="1"/>
    <col min="2" max="2" width="23.28515625" customWidth="1"/>
    <col min="3" max="3" width="2.7109375" hidden="1" customWidth="1"/>
    <col min="4" max="4" width="9.85546875" customWidth="1"/>
    <col min="5" max="7" width="13.5703125" customWidth="1"/>
    <col min="8" max="8" width="18.42578125" customWidth="1"/>
    <col min="9" max="9" width="23.85546875" hidden="1" customWidth="1"/>
    <col min="10" max="10" width="13.7109375" hidden="1" customWidth="1"/>
    <col min="11" max="11" width="15.85546875" hidden="1" customWidth="1"/>
    <col min="12" max="12" width="13.5703125" hidden="1" customWidth="1"/>
    <col min="13" max="13" width="12.85546875" hidden="1" customWidth="1"/>
    <col min="14" max="14" width="15.7109375" hidden="1" customWidth="1"/>
    <col min="15" max="15" width="23.5703125" hidden="1" customWidth="1"/>
  </cols>
  <sheetData>
    <row r="1" spans="1:16" ht="111.75" customHeight="1" x14ac:dyDescent="0.25">
      <c r="A1" s="832" t="s">
        <v>184</v>
      </c>
      <c r="B1" s="832"/>
      <c r="C1" s="832"/>
      <c r="D1" s="832"/>
      <c r="E1" s="832"/>
      <c r="F1" s="832"/>
      <c r="G1" s="832"/>
      <c r="H1" s="832"/>
      <c r="I1" s="832"/>
      <c r="J1" s="832"/>
      <c r="K1" s="832"/>
      <c r="L1" s="832"/>
      <c r="M1" s="832"/>
      <c r="N1" s="832"/>
      <c r="O1" s="9"/>
      <c r="P1" s="9"/>
    </row>
    <row r="2" spans="1:16" ht="65.25" customHeight="1" x14ac:dyDescent="0.25">
      <c r="A2" s="833" t="s">
        <v>35</v>
      </c>
      <c r="B2" s="835" t="s">
        <v>36</v>
      </c>
      <c r="C2" s="835" t="s">
        <v>37</v>
      </c>
      <c r="D2" s="837" t="s">
        <v>38</v>
      </c>
      <c r="E2" s="838"/>
      <c r="F2" s="838"/>
      <c r="G2" s="838"/>
      <c r="H2" s="839"/>
      <c r="I2" s="835" t="s">
        <v>37</v>
      </c>
      <c r="J2" s="837" t="s">
        <v>39</v>
      </c>
      <c r="K2" s="838"/>
      <c r="L2" s="838"/>
      <c r="M2" s="838"/>
      <c r="N2" s="839"/>
      <c r="O2" s="9"/>
      <c r="P2" s="9"/>
    </row>
    <row r="3" spans="1:16" ht="81.75" customHeight="1" x14ac:dyDescent="0.25">
      <c r="A3" s="834"/>
      <c r="B3" s="836"/>
      <c r="C3" s="836"/>
      <c r="D3" s="10" t="s">
        <v>40</v>
      </c>
      <c r="E3" s="11" t="s">
        <v>41</v>
      </c>
      <c r="F3" s="11" t="s">
        <v>42</v>
      </c>
      <c r="G3" s="12" t="s">
        <v>43</v>
      </c>
      <c r="H3" s="12" t="s">
        <v>44</v>
      </c>
      <c r="I3" s="836"/>
      <c r="J3" s="10" t="s">
        <v>40</v>
      </c>
      <c r="K3" s="11" t="s">
        <v>41</v>
      </c>
      <c r="L3" s="11" t="s">
        <v>45</v>
      </c>
      <c r="M3" s="12" t="s">
        <v>43</v>
      </c>
      <c r="N3" s="12" t="s">
        <v>44</v>
      </c>
      <c r="O3" s="9"/>
      <c r="P3" s="9"/>
    </row>
    <row r="4" spans="1:16" ht="10.5" customHeight="1" x14ac:dyDescent="0.25">
      <c r="A4" s="13"/>
      <c r="B4" s="11"/>
      <c r="C4" s="11"/>
      <c r="D4" s="10">
        <v>1</v>
      </c>
      <c r="E4" s="11">
        <v>2</v>
      </c>
      <c r="F4" s="12">
        <v>3</v>
      </c>
      <c r="G4" s="12">
        <v>4</v>
      </c>
      <c r="H4" s="12">
        <v>5</v>
      </c>
      <c r="I4" s="11"/>
      <c r="J4" s="10">
        <v>6</v>
      </c>
      <c r="K4" s="11">
        <v>7</v>
      </c>
      <c r="L4" s="11">
        <v>8</v>
      </c>
      <c r="M4" s="12">
        <v>9</v>
      </c>
      <c r="N4" s="12">
        <v>10</v>
      </c>
      <c r="O4" s="9"/>
      <c r="P4" s="9"/>
    </row>
    <row r="5" spans="1:16" ht="28.5" customHeight="1" x14ac:dyDescent="0.25">
      <c r="A5" s="14">
        <v>1</v>
      </c>
      <c r="B5" s="15" t="s">
        <v>46</v>
      </c>
      <c r="C5" s="16">
        <v>40</v>
      </c>
      <c r="D5" s="16">
        <v>125</v>
      </c>
      <c r="E5" s="17">
        <f>(140.5*4*12)/125</f>
        <v>53.951999999999998</v>
      </c>
      <c r="F5" s="18">
        <v>303.73899999999998</v>
      </c>
      <c r="G5" s="18">
        <v>16386.77</v>
      </c>
      <c r="H5" s="18">
        <v>2048346</v>
      </c>
      <c r="I5" s="19">
        <v>85</v>
      </c>
      <c r="J5" s="19"/>
      <c r="K5" s="18"/>
      <c r="L5" s="20"/>
      <c r="M5" s="21"/>
      <c r="N5" s="22"/>
      <c r="O5" s="23">
        <f>84707.96*12*1.302</f>
        <v>1323477.16704</v>
      </c>
      <c r="P5" s="9"/>
    </row>
    <row r="6" spans="1:16" x14ac:dyDescent="0.25">
      <c r="A6" s="24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6"/>
      <c r="N6" s="23">
        <f>H5+N5</f>
        <v>2048346</v>
      </c>
      <c r="O6" s="23">
        <f>H5+N5</f>
        <v>2048346</v>
      </c>
      <c r="P6" s="9"/>
    </row>
    <row r="7" spans="1:16" x14ac:dyDescent="0.25">
      <c r="A7" s="9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9"/>
      <c r="P7" s="9"/>
    </row>
    <row r="8" spans="1:16" x14ac:dyDescent="0.25">
      <c r="A8" s="9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9"/>
      <c r="P8" s="9"/>
    </row>
    <row r="9" spans="1:16" x14ac:dyDescent="0.25">
      <c r="A9" s="9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9"/>
      <c r="P9" s="9"/>
    </row>
    <row r="10" spans="1:16" x14ac:dyDescent="0.25">
      <c r="A10" s="9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7"/>
      <c r="O10" s="9"/>
      <c r="P10" s="9"/>
    </row>
    <row r="11" spans="1:16" x14ac:dyDescent="0.25">
      <c r="A11" s="9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9"/>
      <c r="O11" s="9"/>
      <c r="P11" s="9"/>
    </row>
    <row r="12" spans="1:16" x14ac:dyDescent="0.25"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9"/>
      <c r="O12" s="29"/>
    </row>
    <row r="13" spans="1:16" x14ac:dyDescent="0.25"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9"/>
      <c r="O13" s="29"/>
    </row>
    <row r="14" spans="1:16" x14ac:dyDescent="0.25"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9"/>
      <c r="O14" s="29"/>
    </row>
    <row r="15" spans="1:16" x14ac:dyDescent="0.25"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6" x14ac:dyDescent="0.25"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</row>
  </sheetData>
  <mergeCells count="7">
    <mergeCell ref="A1:N1"/>
    <mergeCell ref="A2:A3"/>
    <mergeCell ref="B2:B3"/>
    <mergeCell ref="C2:C3"/>
    <mergeCell ref="D2:H2"/>
    <mergeCell ref="I2:I3"/>
    <mergeCell ref="J2:N2"/>
  </mergeCells>
  <pageMargins left="0.25" right="0.25" top="0.75" bottom="0.75" header="0.3" footer="0.3"/>
  <pageSetup paperSize="9" scale="8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"/>
  <sheetViews>
    <sheetView workbookViewId="0">
      <selection activeCell="J2" sqref="J2:N2"/>
    </sheetView>
  </sheetViews>
  <sheetFormatPr defaultRowHeight="15" x14ac:dyDescent="0.25"/>
  <cols>
    <col min="1" max="1" width="3.28515625" customWidth="1"/>
    <col min="2" max="2" width="22.85546875" customWidth="1"/>
    <col min="3" max="3" width="8.42578125" hidden="1" customWidth="1"/>
    <col min="4" max="4" width="12.28515625" customWidth="1"/>
    <col min="5" max="5" width="12" customWidth="1"/>
    <col min="6" max="6" width="12.28515625" hidden="1" customWidth="1"/>
    <col min="7" max="7" width="12.140625" customWidth="1"/>
    <col min="8" max="8" width="8.140625" hidden="1" customWidth="1"/>
    <col min="9" max="9" width="13.85546875" customWidth="1"/>
    <col min="10" max="10" width="12" customWidth="1"/>
    <col min="11" max="11" width="11.28515625" customWidth="1"/>
    <col min="12" max="12" width="12" hidden="1" customWidth="1"/>
    <col min="13" max="13" width="11.85546875" customWidth="1"/>
    <col min="14" max="14" width="14.140625" customWidth="1"/>
    <col min="15" max="15" width="14.140625" hidden="1" customWidth="1"/>
  </cols>
  <sheetData>
    <row r="1" spans="1:16" ht="56.25" customHeight="1" x14ac:dyDescent="0.25">
      <c r="A1" s="1009" t="s">
        <v>215</v>
      </c>
      <c r="B1" s="1009"/>
      <c r="C1" s="1009"/>
      <c r="D1" s="1009"/>
      <c r="E1" s="1009"/>
      <c r="F1" s="1009"/>
      <c r="G1" s="1009"/>
      <c r="H1" s="1009"/>
      <c r="I1" s="1009"/>
      <c r="J1" s="1009"/>
      <c r="K1" s="1009"/>
      <c r="L1" s="1009"/>
      <c r="M1" s="1009"/>
      <c r="N1" s="1009"/>
    </row>
    <row r="2" spans="1:16" ht="65.25" customHeight="1" x14ac:dyDescent="0.25">
      <c r="A2" s="833" t="s">
        <v>35</v>
      </c>
      <c r="B2" s="1010" t="s">
        <v>36</v>
      </c>
      <c r="C2" s="1010" t="s">
        <v>37</v>
      </c>
      <c r="D2" s="1012" t="s">
        <v>220</v>
      </c>
      <c r="E2" s="1013"/>
      <c r="F2" s="1013"/>
      <c r="G2" s="1013"/>
      <c r="H2" s="1013"/>
      <c r="I2" s="1014"/>
      <c r="J2" s="1015" t="s">
        <v>221</v>
      </c>
      <c r="K2" s="1015"/>
      <c r="L2" s="1015"/>
      <c r="M2" s="1015"/>
      <c r="N2" s="1015"/>
      <c r="O2" s="9"/>
      <c r="P2" s="9"/>
    </row>
    <row r="3" spans="1:16" ht="81.75" customHeight="1" x14ac:dyDescent="0.25">
      <c r="A3" s="834"/>
      <c r="B3" s="1011"/>
      <c r="C3" s="1011"/>
      <c r="D3" s="354" t="s">
        <v>40</v>
      </c>
      <c r="E3" s="354" t="s">
        <v>137</v>
      </c>
      <c r="F3" s="354" t="s">
        <v>45</v>
      </c>
      <c r="G3" s="354" t="s">
        <v>218</v>
      </c>
      <c r="H3" s="355"/>
      <c r="I3" s="354" t="s">
        <v>44</v>
      </c>
      <c r="J3" s="354" t="s">
        <v>40</v>
      </c>
      <c r="K3" s="354" t="s">
        <v>137</v>
      </c>
      <c r="L3" s="354" t="s">
        <v>45</v>
      </c>
      <c r="M3" s="354" t="s">
        <v>218</v>
      </c>
      <c r="N3" s="354" t="s">
        <v>44</v>
      </c>
      <c r="O3" s="9"/>
      <c r="P3" s="9"/>
    </row>
    <row r="4" spans="1:16" ht="13.5" customHeight="1" x14ac:dyDescent="0.25">
      <c r="A4" s="334"/>
      <c r="B4" s="356" t="s">
        <v>219</v>
      </c>
      <c r="C4" s="356"/>
      <c r="D4" s="356">
        <v>1</v>
      </c>
      <c r="E4" s="357">
        <v>2</v>
      </c>
      <c r="F4" s="357">
        <v>4</v>
      </c>
      <c r="G4" s="357">
        <v>3</v>
      </c>
      <c r="H4" s="356"/>
      <c r="I4" s="356">
        <v>4</v>
      </c>
      <c r="J4" s="356">
        <v>1</v>
      </c>
      <c r="K4" s="357">
        <v>2</v>
      </c>
      <c r="L4" s="357">
        <v>8</v>
      </c>
      <c r="M4" s="357">
        <v>3</v>
      </c>
      <c r="N4" s="358">
        <v>4</v>
      </c>
      <c r="O4" s="9"/>
      <c r="P4" s="9"/>
    </row>
    <row r="5" spans="1:16" ht="57" customHeight="1" x14ac:dyDescent="0.25">
      <c r="A5" s="359">
        <v>1</v>
      </c>
      <c r="B5" s="360" t="s">
        <v>46</v>
      </c>
      <c r="C5" s="361">
        <v>370</v>
      </c>
      <c r="D5" s="362">
        <v>182</v>
      </c>
      <c r="E5" s="363">
        <v>38.22</v>
      </c>
      <c r="F5" s="364">
        <v>6956</v>
      </c>
      <c r="G5" s="364">
        <f>I5/D5</f>
        <v>38691.758241758245</v>
      </c>
      <c r="H5" s="365"/>
      <c r="I5" s="364">
        <v>7041900</v>
      </c>
      <c r="J5" s="364">
        <v>222</v>
      </c>
      <c r="K5" s="20">
        <v>38.22</v>
      </c>
      <c r="L5" s="366">
        <v>8485</v>
      </c>
      <c r="M5" s="22">
        <f>N5/J5</f>
        <v>38691.801801801805</v>
      </c>
      <c r="N5" s="366">
        <f>15631480-I5</f>
        <v>8589580</v>
      </c>
      <c r="O5" s="23">
        <v>9799900</v>
      </c>
      <c r="P5" s="9"/>
    </row>
    <row r="6" spans="1:16" x14ac:dyDescent="0.25">
      <c r="A6" s="2"/>
      <c r="B6" s="25"/>
      <c r="C6" s="25"/>
      <c r="D6" s="25"/>
      <c r="E6" s="25"/>
      <c r="F6" s="25"/>
      <c r="G6" s="25"/>
      <c r="H6" s="25"/>
      <c r="I6" s="25"/>
      <c r="J6" s="25"/>
      <c r="K6" s="25"/>
      <c r="L6" s="26"/>
      <c r="M6" s="9"/>
      <c r="N6" s="9"/>
      <c r="O6" s="23"/>
      <c r="P6" s="9"/>
    </row>
    <row r="7" spans="1:16" x14ac:dyDescent="0.25"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>
        <f>I5+N5</f>
        <v>15631480</v>
      </c>
      <c r="O7" s="9"/>
      <c r="P7" s="9"/>
    </row>
    <row r="8" spans="1:16" x14ac:dyDescent="0.25">
      <c r="B8" s="23" t="s">
        <v>190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9"/>
      <c r="O8" s="9"/>
      <c r="P8" s="9"/>
    </row>
    <row r="9" spans="1:16" x14ac:dyDescent="0.25"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9"/>
      <c r="N9" s="9"/>
      <c r="O9" s="9"/>
      <c r="P9" s="9"/>
    </row>
    <row r="10" spans="1:16" x14ac:dyDescent="0.25"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</row>
    <row r="11" spans="1:16" x14ac:dyDescent="0.25"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</row>
    <row r="12" spans="1:16" x14ac:dyDescent="0.25">
      <c r="B12" s="28"/>
      <c r="C12" s="28"/>
      <c r="D12" s="28"/>
      <c r="E12" s="28"/>
      <c r="F12" s="28"/>
      <c r="G12" s="28"/>
      <c r="H12" s="28"/>
      <c r="I12" s="367"/>
      <c r="J12" s="28"/>
      <c r="K12" s="28"/>
      <c r="L12" s="28"/>
    </row>
    <row r="13" spans="1:16" x14ac:dyDescent="0.25"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</row>
    <row r="14" spans="1:16" x14ac:dyDescent="0.25"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</row>
  </sheetData>
  <mergeCells count="6">
    <mergeCell ref="A1:N1"/>
    <mergeCell ref="A2:A3"/>
    <mergeCell ref="B2:B3"/>
    <mergeCell ref="C2:C3"/>
    <mergeCell ref="D2:I2"/>
    <mergeCell ref="J2:N2"/>
  </mergeCells>
  <pageMargins left="0.25" right="0.25" top="0.75" bottom="0.75" header="0.3" footer="0.3"/>
  <pageSetup paperSize="9" scale="95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zoomScale="115" zoomScaleNormal="11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J10" sqref="J10"/>
    </sheetView>
  </sheetViews>
  <sheetFormatPr defaultRowHeight="15" x14ac:dyDescent="0.25"/>
  <cols>
    <col min="1" max="1" width="29.85546875" customWidth="1"/>
    <col min="2" max="2" width="8.85546875" customWidth="1"/>
    <col min="3" max="3" width="11.140625" customWidth="1"/>
    <col min="4" max="4" width="11.28515625" hidden="1" customWidth="1"/>
    <col min="5" max="6" width="11.28515625" customWidth="1"/>
    <col min="7" max="7" width="8" customWidth="1"/>
    <col min="8" max="8" width="11.140625" customWidth="1"/>
    <col min="9" max="9" width="11.28515625" hidden="1" customWidth="1"/>
    <col min="10" max="10" width="11.28515625" customWidth="1"/>
    <col min="11" max="11" width="13.42578125" customWidth="1"/>
  </cols>
  <sheetData>
    <row r="1" spans="1:12" ht="55.5" customHeight="1" x14ac:dyDescent="0.25">
      <c r="A1" s="842" t="s">
        <v>216</v>
      </c>
      <c r="B1" s="842"/>
      <c r="C1" s="842"/>
      <c r="D1" s="842"/>
      <c r="E1" s="842"/>
      <c r="F1" s="842"/>
      <c r="G1" s="842"/>
      <c r="H1" s="842"/>
      <c r="I1" s="842"/>
      <c r="J1" s="842"/>
      <c r="K1" s="842"/>
      <c r="L1" s="32"/>
    </row>
    <row r="2" spans="1:12" ht="48" customHeight="1" x14ac:dyDescent="0.25">
      <c r="A2" s="1018" t="s">
        <v>47</v>
      </c>
      <c r="B2" s="1019" t="s">
        <v>64</v>
      </c>
      <c r="C2" s="1020" t="s">
        <v>38</v>
      </c>
      <c r="D2" s="1020"/>
      <c r="E2" s="1020"/>
      <c r="F2" s="1020"/>
      <c r="G2" s="1021" t="s">
        <v>64</v>
      </c>
      <c r="H2" s="1022" t="s">
        <v>39</v>
      </c>
      <c r="I2" s="1022"/>
      <c r="J2" s="1022"/>
      <c r="K2" s="1022"/>
      <c r="L2" s="32"/>
    </row>
    <row r="3" spans="1:12" ht="92.25" customHeight="1" x14ac:dyDescent="0.25">
      <c r="A3" s="1018"/>
      <c r="B3" s="1019"/>
      <c r="C3" s="368" t="s">
        <v>191</v>
      </c>
      <c r="D3" s="368" t="s">
        <v>192</v>
      </c>
      <c r="E3" s="718" t="s">
        <v>290</v>
      </c>
      <c r="F3" s="368" t="s">
        <v>51</v>
      </c>
      <c r="G3" s="1021"/>
      <c r="H3" s="368" t="s">
        <v>191</v>
      </c>
      <c r="I3" s="368" t="s">
        <v>193</v>
      </c>
      <c r="J3" s="718" t="s">
        <v>291</v>
      </c>
      <c r="K3" s="368" t="s">
        <v>51</v>
      </c>
      <c r="L3" s="32"/>
    </row>
    <row r="4" spans="1:12" x14ac:dyDescent="0.25">
      <c r="A4" s="369" t="s">
        <v>194</v>
      </c>
      <c r="B4" s="1016">
        <v>182</v>
      </c>
      <c r="C4" s="370">
        <v>0.06</v>
      </c>
      <c r="D4" s="371">
        <f>C4*182</f>
        <v>10.92</v>
      </c>
      <c r="E4" s="371">
        <f t="shared" ref="E4:E11" si="0">F4/182</f>
        <v>42</v>
      </c>
      <c r="F4" s="371">
        <f>D4*700</f>
        <v>7644</v>
      </c>
      <c r="G4" s="1016">
        <v>222</v>
      </c>
      <c r="H4" s="370">
        <v>0.06</v>
      </c>
      <c r="I4" s="371">
        <f>H4*222</f>
        <v>13.32</v>
      </c>
      <c r="J4" s="371">
        <f>K4/222</f>
        <v>42</v>
      </c>
      <c r="K4" s="372">
        <f>I4*700</f>
        <v>9324</v>
      </c>
      <c r="L4" s="32" t="s">
        <v>168</v>
      </c>
    </row>
    <row r="5" spans="1:12" x14ac:dyDescent="0.25">
      <c r="A5" s="369" t="s">
        <v>195</v>
      </c>
      <c r="B5" s="1017"/>
      <c r="C5" s="370">
        <v>4.0000000000000001E-3</v>
      </c>
      <c r="D5" s="371">
        <f t="shared" ref="D5:D11" si="1">C5*182</f>
        <v>0.72799999999999998</v>
      </c>
      <c r="E5" s="371">
        <f t="shared" si="0"/>
        <v>5.5989010989010985</v>
      </c>
      <c r="F5" s="371">
        <f>D5*1400-0.2</f>
        <v>1018.9999999999999</v>
      </c>
      <c r="G5" s="1017"/>
      <c r="H5" s="370">
        <v>4.0000000000000001E-3</v>
      </c>
      <c r="I5" s="371">
        <f t="shared" ref="I5:I11" si="2">H5*222</f>
        <v>0.88800000000000001</v>
      </c>
      <c r="J5" s="371">
        <f t="shared" ref="J5:J11" si="3">K5/222</f>
        <v>5.5990990990990994</v>
      </c>
      <c r="K5" s="372">
        <f>I5*1400-0.2</f>
        <v>1243</v>
      </c>
      <c r="L5" s="32" t="s">
        <v>168</v>
      </c>
    </row>
    <row r="6" spans="1:12" x14ac:dyDescent="0.25">
      <c r="A6" s="369" t="s">
        <v>196</v>
      </c>
      <c r="B6" s="1017"/>
      <c r="C6" s="370">
        <v>5.0000000000000001E-3</v>
      </c>
      <c r="D6" s="371">
        <f t="shared" si="1"/>
        <v>0.91</v>
      </c>
      <c r="E6" s="371">
        <f t="shared" si="0"/>
        <v>12</v>
      </c>
      <c r="F6" s="371">
        <f>D6*2400</f>
        <v>2184</v>
      </c>
      <c r="G6" s="1017"/>
      <c r="H6" s="370">
        <v>5.0000000000000001E-3</v>
      </c>
      <c r="I6" s="371">
        <f t="shared" si="2"/>
        <v>1.1100000000000001</v>
      </c>
      <c r="J6" s="371">
        <f t="shared" si="3"/>
        <v>12.000000000000002</v>
      </c>
      <c r="K6" s="372">
        <f>I6*2400</f>
        <v>2664.0000000000005</v>
      </c>
      <c r="L6" s="32" t="s">
        <v>168</v>
      </c>
    </row>
    <row r="7" spans="1:12" ht="15" customHeight="1" x14ac:dyDescent="0.25">
      <c r="A7" s="373" t="s">
        <v>197</v>
      </c>
      <c r="B7" s="1017"/>
      <c r="C7" s="374">
        <v>1E-3</v>
      </c>
      <c r="D7" s="375">
        <f t="shared" si="1"/>
        <v>0.182</v>
      </c>
      <c r="E7" s="371">
        <f t="shared" si="0"/>
        <v>2</v>
      </c>
      <c r="F7" s="375">
        <f>D7*2000</f>
        <v>364</v>
      </c>
      <c r="G7" s="1017"/>
      <c r="H7" s="374">
        <v>1E-3</v>
      </c>
      <c r="I7" s="375">
        <f t="shared" si="2"/>
        <v>0.222</v>
      </c>
      <c r="J7" s="371">
        <f t="shared" si="3"/>
        <v>2</v>
      </c>
      <c r="K7" s="372">
        <f>I7*2000</f>
        <v>444</v>
      </c>
      <c r="L7" s="32" t="s">
        <v>168</v>
      </c>
    </row>
    <row r="8" spans="1:12" x14ac:dyDescent="0.25">
      <c r="A8" s="373" t="s">
        <v>198</v>
      </c>
      <c r="B8" s="1017"/>
      <c r="C8" s="374">
        <v>1.7000000000000001E-2</v>
      </c>
      <c r="D8" s="375">
        <f t="shared" si="1"/>
        <v>3.0940000000000003</v>
      </c>
      <c r="E8" s="371">
        <f t="shared" si="0"/>
        <v>15.302197802197805</v>
      </c>
      <c r="F8" s="375">
        <f>D8*900+0.4</f>
        <v>2785.0000000000005</v>
      </c>
      <c r="G8" s="1017"/>
      <c r="H8" s="374">
        <v>1.7000000000000001E-2</v>
      </c>
      <c r="I8" s="375">
        <f t="shared" si="2"/>
        <v>3.7740000000000005</v>
      </c>
      <c r="J8" s="371">
        <f t="shared" si="3"/>
        <v>15.301801801801805</v>
      </c>
      <c r="K8" s="372">
        <f>I8*900+0.4</f>
        <v>3397.0000000000005</v>
      </c>
      <c r="L8" s="32" t="s">
        <v>168</v>
      </c>
    </row>
    <row r="9" spans="1:12" ht="30" x14ac:dyDescent="0.25">
      <c r="A9" s="376" t="s">
        <v>199</v>
      </c>
      <c r="B9" s="1017"/>
      <c r="C9" s="377">
        <v>0.12</v>
      </c>
      <c r="D9" s="372">
        <f t="shared" si="1"/>
        <v>21.84</v>
      </c>
      <c r="E9" s="371">
        <f t="shared" si="0"/>
        <v>96</v>
      </c>
      <c r="F9" s="372">
        <f>D9*800</f>
        <v>17472</v>
      </c>
      <c r="G9" s="1017"/>
      <c r="H9" s="377">
        <v>0.12</v>
      </c>
      <c r="I9" s="372">
        <f t="shared" si="2"/>
        <v>26.64</v>
      </c>
      <c r="J9" s="371">
        <f t="shared" si="3"/>
        <v>96</v>
      </c>
      <c r="K9" s="372">
        <f>I9*800</f>
        <v>21312</v>
      </c>
      <c r="L9" s="32" t="s">
        <v>168</v>
      </c>
    </row>
    <row r="10" spans="1:12" ht="30" x14ac:dyDescent="0.25">
      <c r="A10" s="376" t="s">
        <v>200</v>
      </c>
      <c r="B10" s="1017"/>
      <c r="C10" s="377">
        <v>0.15</v>
      </c>
      <c r="D10" s="372">
        <f t="shared" si="1"/>
        <v>27.3</v>
      </c>
      <c r="E10" s="371">
        <f t="shared" si="0"/>
        <v>150</v>
      </c>
      <c r="F10" s="372">
        <f>D10*1000</f>
        <v>27300</v>
      </c>
      <c r="G10" s="1017"/>
      <c r="H10" s="377">
        <v>0.15</v>
      </c>
      <c r="I10" s="372">
        <f t="shared" si="2"/>
        <v>33.299999999999997</v>
      </c>
      <c r="J10" s="371">
        <f t="shared" si="3"/>
        <v>150</v>
      </c>
      <c r="K10" s="372">
        <f>I10*1000</f>
        <v>33300</v>
      </c>
      <c r="L10" s="32" t="s">
        <v>168</v>
      </c>
    </row>
    <row r="11" spans="1:12" x14ac:dyDescent="0.25">
      <c r="A11" s="378" t="s">
        <v>201</v>
      </c>
      <c r="B11" s="1017"/>
      <c r="C11" s="379">
        <v>0.02</v>
      </c>
      <c r="D11" s="380">
        <f t="shared" si="1"/>
        <v>3.64</v>
      </c>
      <c r="E11" s="371">
        <f t="shared" si="0"/>
        <v>90</v>
      </c>
      <c r="F11" s="380">
        <f>D11*4500</f>
        <v>16380</v>
      </c>
      <c r="G11" s="1017"/>
      <c r="H11" s="379">
        <v>0.02</v>
      </c>
      <c r="I11" s="380">
        <f t="shared" si="2"/>
        <v>4.4400000000000004</v>
      </c>
      <c r="J11" s="371">
        <f t="shared" si="3"/>
        <v>90</v>
      </c>
      <c r="K11" s="380">
        <f>I11*4500</f>
        <v>19980</v>
      </c>
      <c r="L11" s="32" t="s">
        <v>168</v>
      </c>
    </row>
    <row r="12" spans="1:12" x14ac:dyDescent="0.25">
      <c r="A12" s="381" t="s">
        <v>63</v>
      </c>
      <c r="B12" s="382"/>
      <c r="C12" s="383"/>
      <c r="D12" s="366"/>
      <c r="E12" s="366">
        <f>E4+E5+E6+E7+E8+E9+E10+E11</f>
        <v>412.90109890109892</v>
      </c>
      <c r="F12" s="384">
        <f>F4+F5+F6+F7+F8+F9+F10+F11</f>
        <v>75148</v>
      </c>
      <c r="G12" s="366"/>
      <c r="H12" s="366"/>
      <c r="I12" s="366"/>
      <c r="J12" s="366">
        <f>J4+J5+J6+J7+J8+J9+J10+J11</f>
        <v>412.90090090090092</v>
      </c>
      <c r="K12" s="384">
        <f>K4+K5+K6+K7+K8+K9+K10+K11</f>
        <v>91664</v>
      </c>
      <c r="L12" s="32"/>
    </row>
    <row r="13" spans="1:12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</row>
    <row r="14" spans="1:12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28">
        <f>F12+K12</f>
        <v>166812</v>
      </c>
      <c r="L14" s="32"/>
    </row>
    <row r="15" spans="1:12" x14ac:dyDescent="0.25">
      <c r="A15" s="32" t="s">
        <v>190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</row>
    <row r="16" spans="1:12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</row>
  </sheetData>
  <mergeCells count="8">
    <mergeCell ref="B4:B11"/>
    <mergeCell ref="G4:G11"/>
    <mergeCell ref="A1:K1"/>
    <mergeCell ref="A2:A3"/>
    <mergeCell ref="B2:B3"/>
    <mergeCell ref="C2:F2"/>
    <mergeCell ref="G2:G3"/>
    <mergeCell ref="H2:K2"/>
  </mergeCells>
  <pageMargins left="0.25" right="0.25" top="0.75" bottom="0.75" header="0.3" footer="0.3"/>
  <pageSetup paperSize="9" fitToHeight="0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48"/>
  <sheetViews>
    <sheetView zoomScaleNormal="100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M45" sqref="M45"/>
    </sheetView>
  </sheetViews>
  <sheetFormatPr defaultRowHeight="15.75" x14ac:dyDescent="0.25"/>
  <cols>
    <col min="1" max="1" width="50" style="487" customWidth="1"/>
    <col min="2" max="2" width="6.85546875" style="151" customWidth="1"/>
    <col min="3" max="3" width="14.85546875" style="511" customWidth="1"/>
    <col min="4" max="4" width="20.42578125" style="151" customWidth="1"/>
    <col min="5" max="5" width="12.28515625" style="151" customWidth="1"/>
    <col min="6" max="6" width="15.7109375" style="151" customWidth="1"/>
    <col min="7" max="7" width="7.28515625" style="151" customWidth="1"/>
    <col min="8" max="8" width="13.140625" style="511" customWidth="1"/>
    <col min="9" max="9" width="20" style="151" customWidth="1"/>
    <col min="10" max="10" width="11.5703125" style="151" customWidth="1"/>
    <col min="11" max="11" width="15.140625" style="151" customWidth="1"/>
    <col min="12" max="12" width="14.140625" style="151" customWidth="1"/>
    <col min="13" max="13" width="14.28515625" style="151" bestFit="1" customWidth="1"/>
    <col min="14" max="14" width="13.85546875" bestFit="1" customWidth="1"/>
    <col min="15" max="15" width="17.5703125" customWidth="1"/>
  </cols>
  <sheetData>
    <row r="1" spans="1:13" ht="66" customHeight="1" thickBot="1" x14ac:dyDescent="0.3">
      <c r="A1" s="1035" t="s">
        <v>217</v>
      </c>
      <c r="B1" s="1035"/>
      <c r="C1" s="1035"/>
      <c r="D1" s="1035"/>
      <c r="E1" s="1035"/>
      <c r="F1" s="1035"/>
      <c r="G1" s="1035"/>
      <c r="H1" s="1035"/>
      <c r="I1" s="1035"/>
      <c r="J1" s="1035"/>
      <c r="K1" s="1035"/>
      <c r="L1" s="1035"/>
    </row>
    <row r="2" spans="1:13" ht="57" customHeight="1" thickBot="1" x14ac:dyDescent="0.3">
      <c r="A2" s="385"/>
      <c r="B2" s="1036" t="s">
        <v>38</v>
      </c>
      <c r="C2" s="1037"/>
      <c r="D2" s="1037"/>
      <c r="E2" s="1037"/>
      <c r="F2" s="1038"/>
      <c r="G2" s="1039" t="s">
        <v>39</v>
      </c>
      <c r="H2" s="1040"/>
      <c r="I2" s="1040"/>
      <c r="J2" s="1040"/>
      <c r="K2" s="1040"/>
      <c r="L2" s="388" t="s">
        <v>63</v>
      </c>
    </row>
    <row r="3" spans="1:13" ht="15.75" customHeight="1" thickBot="1" x14ac:dyDescent="0.3">
      <c r="A3" s="385">
        <v>1</v>
      </c>
      <c r="B3" s="386">
        <v>2</v>
      </c>
      <c r="C3" s="491">
        <v>3</v>
      </c>
      <c r="D3" s="386">
        <v>4</v>
      </c>
      <c r="E3" s="386">
        <v>5</v>
      </c>
      <c r="F3" s="386">
        <v>6</v>
      </c>
      <c r="G3" s="386">
        <v>7</v>
      </c>
      <c r="H3" s="491">
        <v>8</v>
      </c>
      <c r="I3" s="386">
        <v>9</v>
      </c>
      <c r="J3" s="386">
        <v>10</v>
      </c>
      <c r="K3" s="387">
        <v>11</v>
      </c>
      <c r="L3" s="388">
        <v>12</v>
      </c>
    </row>
    <row r="4" spans="1:13" ht="49.5" customHeight="1" thickBot="1" x14ac:dyDescent="0.3">
      <c r="A4" s="33"/>
      <c r="B4" s="386" t="s">
        <v>64</v>
      </c>
      <c r="C4" s="491" t="s">
        <v>202</v>
      </c>
      <c r="D4" s="386" t="s">
        <v>67</v>
      </c>
      <c r="E4" s="386" t="s">
        <v>203</v>
      </c>
      <c r="F4" s="386" t="s">
        <v>69</v>
      </c>
      <c r="G4" s="386" t="s">
        <v>64</v>
      </c>
      <c r="H4" s="491" t="s">
        <v>202</v>
      </c>
      <c r="I4" s="386" t="s">
        <v>67</v>
      </c>
      <c r="J4" s="386" t="s">
        <v>203</v>
      </c>
      <c r="K4" s="456" t="s">
        <v>69</v>
      </c>
      <c r="L4" s="388" t="s">
        <v>63</v>
      </c>
    </row>
    <row r="5" spans="1:13" s="51" customFormat="1" ht="16.5" customHeight="1" x14ac:dyDescent="0.25">
      <c r="A5" s="457" t="s">
        <v>71</v>
      </c>
      <c r="B5" s="1029">
        <v>254</v>
      </c>
      <c r="C5" s="492"/>
      <c r="D5" s="389"/>
      <c r="E5" s="389"/>
      <c r="F5" s="390">
        <f>F6+F7+F8</f>
        <v>195930</v>
      </c>
      <c r="G5" s="1029">
        <v>150</v>
      </c>
      <c r="H5" s="492"/>
      <c r="I5" s="389"/>
      <c r="J5" s="389"/>
      <c r="K5" s="391">
        <f>K6+K7+K8</f>
        <v>238995</v>
      </c>
      <c r="L5" s="392">
        <f>F5+K5</f>
        <v>434925</v>
      </c>
      <c r="M5" s="238"/>
    </row>
    <row r="6" spans="1:13" s="51" customFormat="1" ht="24.75" customHeight="1" x14ac:dyDescent="0.25">
      <c r="A6" s="458" t="s">
        <v>204</v>
      </c>
      <c r="B6" s="1030"/>
      <c r="C6" s="493">
        <f>E6/3022.6</f>
        <v>0.18420288941418222</v>
      </c>
      <c r="D6" s="393" t="s">
        <v>205</v>
      </c>
      <c r="E6" s="393">
        <f>F6/254</f>
        <v>556.77165354330714</v>
      </c>
      <c r="F6" s="394">
        <v>141420</v>
      </c>
      <c r="G6" s="1030"/>
      <c r="H6" s="493">
        <f>J6/3022.6</f>
        <v>0.38047817552217739</v>
      </c>
      <c r="I6" s="393" t="s">
        <v>205</v>
      </c>
      <c r="J6" s="393">
        <f>K6/150</f>
        <v>1150.0333333333333</v>
      </c>
      <c r="K6" s="395">
        <f>313925-F6</f>
        <v>172505</v>
      </c>
      <c r="L6" s="396">
        <f>F6+K6</f>
        <v>313925</v>
      </c>
      <c r="M6" s="238"/>
    </row>
    <row r="7" spans="1:13" s="51" customFormat="1" ht="24.75" customHeight="1" x14ac:dyDescent="0.25">
      <c r="A7" s="458" t="s">
        <v>75</v>
      </c>
      <c r="B7" s="1030"/>
      <c r="C7" s="493">
        <f>E7/7.66</f>
        <v>24.542053000555086</v>
      </c>
      <c r="D7" s="393" t="s">
        <v>206</v>
      </c>
      <c r="E7" s="393">
        <f>47750/254</f>
        <v>187.99212598425197</v>
      </c>
      <c r="F7" s="394">
        <v>47750</v>
      </c>
      <c r="G7" s="1030"/>
      <c r="H7" s="493">
        <f>J7/7.66</f>
        <v>50.696257615317663</v>
      </c>
      <c r="I7" s="393" t="s">
        <v>206</v>
      </c>
      <c r="J7" s="393">
        <f>K7/150</f>
        <v>388.33333333333331</v>
      </c>
      <c r="K7" s="395">
        <f>106000-47750</f>
        <v>58250</v>
      </c>
      <c r="L7" s="396">
        <f>F7+K7</f>
        <v>106000</v>
      </c>
      <c r="M7" s="238"/>
    </row>
    <row r="8" spans="1:13" s="51" customFormat="1" ht="24.75" customHeight="1" thickBot="1" x14ac:dyDescent="0.3">
      <c r="A8" s="459" t="s">
        <v>207</v>
      </c>
      <c r="B8" s="1031"/>
      <c r="C8" s="494">
        <f>E8/77.41</f>
        <v>0.34380794765981731</v>
      </c>
      <c r="D8" s="397" t="s">
        <v>74</v>
      </c>
      <c r="E8" s="397">
        <f>6760/254</f>
        <v>26.614173228346456</v>
      </c>
      <c r="F8" s="398">
        <v>6760</v>
      </c>
      <c r="G8" s="1031"/>
      <c r="H8" s="494">
        <f>J8/77.41</f>
        <v>0.70964130387977431</v>
      </c>
      <c r="I8" s="397" t="s">
        <v>74</v>
      </c>
      <c r="J8" s="397">
        <f>8240/150</f>
        <v>54.93333333333333</v>
      </c>
      <c r="K8" s="399">
        <f>15000-6760</f>
        <v>8240</v>
      </c>
      <c r="L8" s="400">
        <f>F8+K8</f>
        <v>15000</v>
      </c>
      <c r="M8" s="238"/>
    </row>
    <row r="9" spans="1:13" ht="5.25" customHeight="1" thickBot="1" x14ac:dyDescent="0.3">
      <c r="A9" s="460"/>
      <c r="B9" s="401"/>
      <c r="C9" s="495"/>
      <c r="D9" s="402"/>
      <c r="E9" s="402"/>
      <c r="F9" s="402"/>
      <c r="G9" s="401"/>
      <c r="H9" s="495"/>
      <c r="I9" s="402"/>
      <c r="J9" s="402"/>
      <c r="K9" s="403"/>
      <c r="L9" s="404"/>
      <c r="M9" s="238"/>
    </row>
    <row r="10" spans="1:13" s="51" customFormat="1" ht="46.5" customHeight="1" x14ac:dyDescent="0.25">
      <c r="A10" s="461" t="s">
        <v>80</v>
      </c>
      <c r="B10" s="1032">
        <v>254</v>
      </c>
      <c r="C10" s="496"/>
      <c r="D10" s="405"/>
      <c r="E10" s="405"/>
      <c r="F10" s="406">
        <f>F11+F12+F13+F14+F15+F16</f>
        <v>73363</v>
      </c>
      <c r="G10" s="1029">
        <v>150</v>
      </c>
      <c r="H10" s="515"/>
      <c r="I10" s="405"/>
      <c r="J10" s="405"/>
      <c r="K10" s="389">
        <f>K11+K12+K13+K14+K15+K16</f>
        <v>79637</v>
      </c>
      <c r="L10" s="407">
        <f>L11+L12+L13+L14+L15+L16</f>
        <v>153000</v>
      </c>
      <c r="M10" s="238"/>
    </row>
    <row r="11" spans="1:13" s="51" customFormat="1" ht="60.75" customHeight="1" x14ac:dyDescent="0.25">
      <c r="A11" s="462" t="s">
        <v>81</v>
      </c>
      <c r="B11" s="1033"/>
      <c r="C11" s="497">
        <f>1/182</f>
        <v>5.4945054945054949E-3</v>
      </c>
      <c r="D11" s="393" t="s">
        <v>82</v>
      </c>
      <c r="E11" s="393">
        <f>F11/254</f>
        <v>162.81496062992127</v>
      </c>
      <c r="F11" s="408">
        <v>41355</v>
      </c>
      <c r="G11" s="1030"/>
      <c r="H11" s="760">
        <f>1/150</f>
        <v>6.6666666666666671E-3</v>
      </c>
      <c r="I11" s="393" t="s">
        <v>82</v>
      </c>
      <c r="J11" s="393">
        <f>K11/150</f>
        <v>124.3</v>
      </c>
      <c r="K11" s="393">
        <f>L11-F11</f>
        <v>18645</v>
      </c>
      <c r="L11" s="409">
        <v>60000</v>
      </c>
      <c r="M11" s="238"/>
    </row>
    <row r="12" spans="1:13" s="51" customFormat="1" ht="32.25" customHeight="1" x14ac:dyDescent="0.25">
      <c r="A12" s="462" t="s">
        <v>208</v>
      </c>
      <c r="B12" s="1033"/>
      <c r="C12" s="497"/>
      <c r="D12" s="393" t="s">
        <v>82</v>
      </c>
      <c r="E12" s="393"/>
      <c r="F12" s="408"/>
      <c r="G12" s="1030"/>
      <c r="H12" s="760"/>
      <c r="I12" s="393" t="s">
        <v>82</v>
      </c>
      <c r="J12" s="393"/>
      <c r="K12" s="393"/>
      <c r="L12" s="409"/>
      <c r="M12" s="238"/>
    </row>
    <row r="13" spans="1:13" s="51" customFormat="1" ht="38.25" customHeight="1" x14ac:dyDescent="0.25">
      <c r="A13" s="462" t="s">
        <v>209</v>
      </c>
      <c r="B13" s="1033"/>
      <c r="C13" s="497">
        <f>2/182</f>
        <v>1.098901098901099E-2</v>
      </c>
      <c r="D13" s="393" t="s">
        <v>82</v>
      </c>
      <c r="E13" s="393">
        <f>F13/254</f>
        <v>97.637795275590548</v>
      </c>
      <c r="F13" s="408">
        <v>24800</v>
      </c>
      <c r="G13" s="1030"/>
      <c r="H13" s="760">
        <f>2/150</f>
        <v>1.3333333333333334E-2</v>
      </c>
      <c r="I13" s="393" t="s">
        <v>82</v>
      </c>
      <c r="J13" s="393">
        <f>K13/150</f>
        <v>201.33333333333334</v>
      </c>
      <c r="K13" s="393">
        <f>L13-F13</f>
        <v>30200</v>
      </c>
      <c r="L13" s="409">
        <v>55000</v>
      </c>
      <c r="M13" s="238"/>
    </row>
    <row r="14" spans="1:13" s="51" customFormat="1" ht="28.5" customHeight="1" x14ac:dyDescent="0.25">
      <c r="A14" s="462" t="s">
        <v>210</v>
      </c>
      <c r="B14" s="1033"/>
      <c r="C14" s="497">
        <f>1/182</f>
        <v>5.4945054945054949E-3</v>
      </c>
      <c r="D14" s="393" t="s">
        <v>82</v>
      </c>
      <c r="E14" s="393">
        <f>F14/254</f>
        <v>17.736220472440944</v>
      </c>
      <c r="F14" s="408">
        <v>4505</v>
      </c>
      <c r="G14" s="1030"/>
      <c r="H14" s="760">
        <f>1/150</f>
        <v>6.6666666666666671E-3</v>
      </c>
      <c r="I14" s="393" t="s">
        <v>82</v>
      </c>
      <c r="J14" s="393">
        <f>K14/150</f>
        <v>89.966666666666669</v>
      </c>
      <c r="K14" s="393">
        <f>L14-F14</f>
        <v>13495</v>
      </c>
      <c r="L14" s="409">
        <v>18000</v>
      </c>
      <c r="M14" s="238"/>
    </row>
    <row r="15" spans="1:13" s="51" customFormat="1" ht="21" customHeight="1" x14ac:dyDescent="0.25">
      <c r="A15" s="462" t="s">
        <v>85</v>
      </c>
      <c r="B15" s="1033"/>
      <c r="C15" s="497">
        <f>1/182</f>
        <v>5.4945054945054949E-3</v>
      </c>
      <c r="D15" s="393" t="s">
        <v>82</v>
      </c>
      <c r="E15" s="393">
        <f>F15/254</f>
        <v>10.641732283464567</v>
      </c>
      <c r="F15" s="408">
        <v>2703</v>
      </c>
      <c r="G15" s="1030"/>
      <c r="H15" s="760">
        <f>1/150</f>
        <v>6.6666666666666671E-3</v>
      </c>
      <c r="I15" s="393" t="s">
        <v>82</v>
      </c>
      <c r="J15" s="393">
        <f>K15/150</f>
        <v>115.31333333333333</v>
      </c>
      <c r="K15" s="393">
        <f>L15-F15</f>
        <v>17297</v>
      </c>
      <c r="L15" s="409">
        <v>20000</v>
      </c>
      <c r="M15" s="238"/>
    </row>
    <row r="16" spans="1:13" s="51" customFormat="1" ht="21" customHeight="1" thickBot="1" x14ac:dyDescent="0.3">
      <c r="A16" s="463" t="s">
        <v>211</v>
      </c>
      <c r="B16" s="1034"/>
      <c r="C16" s="498"/>
      <c r="D16" s="397"/>
      <c r="E16" s="397"/>
      <c r="F16" s="410"/>
      <c r="G16" s="1031"/>
      <c r="H16" s="516"/>
      <c r="I16" s="397"/>
      <c r="J16" s="397"/>
      <c r="K16" s="397"/>
      <c r="L16" s="411">
        <v>0</v>
      </c>
      <c r="M16" s="238"/>
    </row>
    <row r="17" spans="1:14" ht="6" customHeight="1" thickBot="1" x14ac:dyDescent="0.3">
      <c r="A17" s="464"/>
      <c r="B17" s="412"/>
      <c r="C17" s="499"/>
      <c r="D17" s="402"/>
      <c r="E17" s="402"/>
      <c r="F17" s="413"/>
      <c r="G17" s="414"/>
      <c r="H17" s="499"/>
      <c r="I17" s="402"/>
      <c r="J17" s="402"/>
      <c r="K17" s="413"/>
      <c r="L17" s="415"/>
      <c r="M17" s="238"/>
    </row>
    <row r="18" spans="1:14" ht="42" customHeight="1" x14ac:dyDescent="0.25">
      <c r="A18" s="465" t="s">
        <v>88</v>
      </c>
      <c r="B18" s="1023">
        <v>254</v>
      </c>
      <c r="C18" s="500"/>
      <c r="D18" s="416"/>
      <c r="E18" s="416"/>
      <c r="F18" s="417"/>
      <c r="G18" s="1026">
        <v>150</v>
      </c>
      <c r="H18" s="500"/>
      <c r="I18" s="416"/>
      <c r="J18" s="416"/>
      <c r="K18" s="416"/>
      <c r="L18" s="418"/>
      <c r="M18" s="238"/>
    </row>
    <row r="19" spans="1:14" ht="22.5" customHeight="1" x14ac:dyDescent="0.25">
      <c r="A19" s="466" t="s">
        <v>89</v>
      </c>
      <c r="B19" s="1024"/>
      <c r="C19" s="493"/>
      <c r="D19" s="419"/>
      <c r="E19" s="419"/>
      <c r="F19" s="420"/>
      <c r="G19" s="1027"/>
      <c r="H19" s="493"/>
      <c r="I19" s="419"/>
      <c r="J19" s="419"/>
      <c r="K19" s="419"/>
      <c r="L19" s="421"/>
      <c r="M19" s="238"/>
    </row>
    <row r="20" spans="1:14" ht="22.5" customHeight="1" thickBot="1" x14ac:dyDescent="0.3">
      <c r="A20" s="467" t="s">
        <v>90</v>
      </c>
      <c r="B20" s="1025"/>
      <c r="C20" s="494"/>
      <c r="D20" s="422"/>
      <c r="E20" s="422"/>
      <c r="F20" s="423"/>
      <c r="G20" s="1028"/>
      <c r="H20" s="494"/>
      <c r="I20" s="422"/>
      <c r="J20" s="422"/>
      <c r="K20" s="422"/>
      <c r="L20" s="424"/>
      <c r="M20" s="238"/>
    </row>
    <row r="21" spans="1:14" ht="7.5" customHeight="1" thickBot="1" x14ac:dyDescent="0.3">
      <c r="A21" s="468"/>
      <c r="B21" s="412"/>
      <c r="C21" s="501"/>
      <c r="D21" s="425"/>
      <c r="E21" s="425"/>
      <c r="F21" s="426"/>
      <c r="G21" s="414"/>
      <c r="H21" s="501"/>
      <c r="I21" s="425"/>
      <c r="J21" s="425"/>
      <c r="K21" s="426"/>
      <c r="L21" s="427"/>
      <c r="M21" s="238"/>
    </row>
    <row r="22" spans="1:14" s="51" customFormat="1" ht="31.5" customHeight="1" x14ac:dyDescent="0.25">
      <c r="A22" s="457" t="s">
        <v>91</v>
      </c>
      <c r="B22" s="1029">
        <v>254</v>
      </c>
      <c r="C22" s="492"/>
      <c r="D22" s="389"/>
      <c r="E22" s="389"/>
      <c r="F22" s="390">
        <f>F23+F24</f>
        <v>29720</v>
      </c>
      <c r="G22" s="1029">
        <v>150</v>
      </c>
      <c r="H22" s="492"/>
      <c r="I22" s="389"/>
      <c r="J22" s="389"/>
      <c r="K22" s="391">
        <f>K23+K24</f>
        <v>36280</v>
      </c>
      <c r="L22" s="392">
        <f>F22+K22</f>
        <v>66000</v>
      </c>
      <c r="M22" s="238"/>
    </row>
    <row r="23" spans="1:14" s="51" customFormat="1" ht="15.75" customHeight="1" x14ac:dyDescent="0.25">
      <c r="A23" s="469" t="s">
        <v>92</v>
      </c>
      <c r="B23" s="1030"/>
      <c r="C23" s="502">
        <f>E23/30</f>
        <v>2.0669291338582676</v>
      </c>
      <c r="D23" s="428" t="s">
        <v>212</v>
      </c>
      <c r="E23" s="428">
        <f>F23/254</f>
        <v>62.00787401574803</v>
      </c>
      <c r="F23" s="429">
        <v>15750</v>
      </c>
      <c r="G23" s="1030"/>
      <c r="H23" s="502">
        <f>J23/30</f>
        <v>4.2777777777777777</v>
      </c>
      <c r="I23" s="428" t="s">
        <v>212</v>
      </c>
      <c r="J23" s="428">
        <f>K23/150</f>
        <v>128.33333333333334</v>
      </c>
      <c r="K23" s="430">
        <f>L23-F23</f>
        <v>19250</v>
      </c>
      <c r="L23" s="396">
        <v>35000</v>
      </c>
      <c r="M23" s="238"/>
    </row>
    <row r="24" spans="1:14" s="51" customFormat="1" ht="17.25" customHeight="1" thickBot="1" x14ac:dyDescent="0.3">
      <c r="A24" s="470" t="s">
        <v>95</v>
      </c>
      <c r="B24" s="1031"/>
      <c r="C24" s="503">
        <f>E24/1.2</f>
        <v>45.833333333333336</v>
      </c>
      <c r="D24" s="397" t="s">
        <v>96</v>
      </c>
      <c r="E24" s="397">
        <f>F24/254</f>
        <v>55</v>
      </c>
      <c r="F24" s="431">
        <v>13970</v>
      </c>
      <c r="G24" s="1031"/>
      <c r="H24" s="503">
        <f>J24/1.2</f>
        <v>94.611111111111114</v>
      </c>
      <c r="I24" s="397" t="s">
        <v>96</v>
      </c>
      <c r="J24" s="432">
        <f>K24/150</f>
        <v>113.53333333333333</v>
      </c>
      <c r="K24" s="433">
        <f>L24-F24</f>
        <v>17030</v>
      </c>
      <c r="L24" s="400">
        <v>31000</v>
      </c>
      <c r="M24" s="238"/>
    </row>
    <row r="25" spans="1:14" ht="9" customHeight="1" thickBot="1" x14ac:dyDescent="0.3">
      <c r="A25" s="471"/>
      <c r="B25" s="401"/>
      <c r="C25" s="504"/>
      <c r="D25" s="402"/>
      <c r="E25" s="402"/>
      <c r="F25" s="434"/>
      <c r="G25" s="401"/>
      <c r="H25" s="504"/>
      <c r="I25" s="402"/>
      <c r="J25" s="434"/>
      <c r="K25" s="435"/>
      <c r="L25" s="404"/>
      <c r="M25" s="238"/>
    </row>
    <row r="26" spans="1:14" s="51" customFormat="1" ht="75.75" customHeight="1" x14ac:dyDescent="0.25">
      <c r="A26" s="472" t="s">
        <v>97</v>
      </c>
      <c r="B26" s="1029">
        <v>254</v>
      </c>
      <c r="C26" s="505"/>
      <c r="D26" s="436"/>
      <c r="E26" s="436"/>
      <c r="F26" s="391">
        <f>F27+F28</f>
        <v>2415612</v>
      </c>
      <c r="G26" s="1029">
        <v>150</v>
      </c>
      <c r="H26" s="517"/>
      <c r="I26" s="436"/>
      <c r="J26" s="436"/>
      <c r="K26" s="437">
        <f>K27+K28</f>
        <v>2112733</v>
      </c>
      <c r="L26" s="407">
        <f>F26+K26</f>
        <v>4528345</v>
      </c>
      <c r="M26" s="238"/>
      <c r="N26" s="69"/>
    </row>
    <row r="27" spans="1:14" s="51" customFormat="1" ht="29.25" customHeight="1" x14ac:dyDescent="0.25">
      <c r="A27" s="473" t="s">
        <v>213</v>
      </c>
      <c r="B27" s="1030"/>
      <c r="C27" s="506">
        <v>9.5</v>
      </c>
      <c r="D27" s="393" t="s">
        <v>99</v>
      </c>
      <c r="E27" s="438">
        <f>F27/254</f>
        <v>3488.2362204724409</v>
      </c>
      <c r="F27" s="395">
        <v>886012</v>
      </c>
      <c r="G27" s="1030"/>
      <c r="H27" s="518">
        <v>9.5</v>
      </c>
      <c r="I27" s="393" t="s">
        <v>99</v>
      </c>
      <c r="J27" s="438">
        <f>K27/150</f>
        <v>1646.5866666666666</v>
      </c>
      <c r="K27" s="438">
        <f>L27-F27</f>
        <v>246988</v>
      </c>
      <c r="L27" s="409">
        <v>1133000</v>
      </c>
      <c r="M27" s="238"/>
      <c r="N27" s="69"/>
    </row>
    <row r="28" spans="1:14" s="51" customFormat="1" ht="21" customHeight="1" thickBot="1" x14ac:dyDescent="0.3">
      <c r="A28" s="474" t="s">
        <v>100</v>
      </c>
      <c r="B28" s="1031"/>
      <c r="C28" s="507">
        <v>66.53</v>
      </c>
      <c r="D28" s="397" t="s">
        <v>99</v>
      </c>
      <c r="E28" s="439">
        <f>F28/254</f>
        <v>6022.0472440944886</v>
      </c>
      <c r="F28" s="399">
        <v>1529600</v>
      </c>
      <c r="G28" s="1031"/>
      <c r="H28" s="519">
        <v>66.53</v>
      </c>
      <c r="I28" s="397" t="s">
        <v>99</v>
      </c>
      <c r="J28" s="439">
        <f>K28/150</f>
        <v>12438.3</v>
      </c>
      <c r="K28" s="439">
        <f>L28-F28</f>
        <v>1865745</v>
      </c>
      <c r="L28" s="411">
        <v>3395345</v>
      </c>
      <c r="M28" s="238"/>
      <c r="N28" s="69"/>
    </row>
    <row r="29" spans="1:14" s="51" customFormat="1" ht="9.75" customHeight="1" thickBot="1" x14ac:dyDescent="0.3">
      <c r="A29" s="475"/>
      <c r="B29" s="440"/>
      <c r="C29" s="508"/>
      <c r="D29" s="441"/>
      <c r="E29" s="441"/>
      <c r="F29" s="441"/>
      <c r="G29" s="440"/>
      <c r="H29" s="508"/>
      <c r="I29" s="441"/>
      <c r="J29" s="441"/>
      <c r="K29" s="442"/>
      <c r="L29" s="443"/>
      <c r="M29" s="238"/>
    </row>
    <row r="30" spans="1:14" s="51" customFormat="1" ht="36.75" customHeight="1" x14ac:dyDescent="0.25">
      <c r="A30" s="476" t="s">
        <v>101</v>
      </c>
      <c r="B30" s="1046">
        <v>254</v>
      </c>
      <c r="C30" s="500"/>
      <c r="D30" s="405"/>
      <c r="E30" s="405"/>
      <c r="F30" s="407">
        <f>F31+F32+F33+F34+F35+F36+F37</f>
        <v>144130</v>
      </c>
      <c r="G30" s="1029">
        <v>150</v>
      </c>
      <c r="H30" s="500"/>
      <c r="I30" s="405"/>
      <c r="J30" s="405"/>
      <c r="K30" s="437">
        <f>K31+K32+K33+K34+K35+K36+K37</f>
        <v>170538</v>
      </c>
      <c r="L30" s="407">
        <f>L31+L32+L33+L34+L35+L36+L37</f>
        <v>314668</v>
      </c>
      <c r="M30" s="238"/>
      <c r="N30" s="69"/>
    </row>
    <row r="31" spans="1:14" s="51" customFormat="1" ht="22.5" customHeight="1" x14ac:dyDescent="0.25">
      <c r="A31" s="477" t="s">
        <v>102</v>
      </c>
      <c r="B31" s="1047"/>
      <c r="C31" s="509">
        <v>0.06</v>
      </c>
      <c r="D31" s="393" t="s">
        <v>103</v>
      </c>
      <c r="E31" s="393">
        <f>F31/254</f>
        <v>124.01574803149606</v>
      </c>
      <c r="F31" s="409">
        <v>31500</v>
      </c>
      <c r="G31" s="1030"/>
      <c r="H31" s="520">
        <v>0.06</v>
      </c>
      <c r="I31" s="393" t="s">
        <v>103</v>
      </c>
      <c r="J31" s="393">
        <f>K31/150</f>
        <v>201.12</v>
      </c>
      <c r="K31" s="438">
        <f>L31-F31</f>
        <v>30168</v>
      </c>
      <c r="L31" s="409">
        <f>70000-8332</f>
        <v>61668</v>
      </c>
      <c r="M31" s="238"/>
      <c r="N31" s="69"/>
    </row>
    <row r="32" spans="1:14" s="51" customFormat="1" ht="47.25" customHeight="1" x14ac:dyDescent="0.25">
      <c r="A32" s="477" t="s">
        <v>104</v>
      </c>
      <c r="B32" s="1047"/>
      <c r="C32" s="509">
        <f>1/182</f>
        <v>5.4945054945054949E-3</v>
      </c>
      <c r="D32" s="393" t="s">
        <v>82</v>
      </c>
      <c r="E32" s="393">
        <f>F32/254</f>
        <v>79.921259842519689</v>
      </c>
      <c r="F32" s="409">
        <v>20300</v>
      </c>
      <c r="G32" s="1030"/>
      <c r="H32" s="758">
        <f>1/150</f>
        <v>6.6666666666666671E-3</v>
      </c>
      <c r="I32" s="393" t="s">
        <v>82</v>
      </c>
      <c r="J32" s="393">
        <f>K32/150</f>
        <v>164.66666666666666</v>
      </c>
      <c r="K32" s="438">
        <f>L32-F32</f>
        <v>24700</v>
      </c>
      <c r="L32" s="409">
        <v>45000</v>
      </c>
      <c r="M32" s="238"/>
      <c r="N32" s="69"/>
    </row>
    <row r="33" spans="1:15" s="51" customFormat="1" ht="51" customHeight="1" x14ac:dyDescent="0.25">
      <c r="A33" s="477" t="s">
        <v>105</v>
      </c>
      <c r="B33" s="1047"/>
      <c r="C33" s="509">
        <v>5.0000000000000001E-3</v>
      </c>
      <c r="D33" s="393" t="s">
        <v>103</v>
      </c>
      <c r="E33" s="393">
        <f>F33/254</f>
        <v>26.614173228346456</v>
      </c>
      <c r="F33" s="409">
        <v>6760</v>
      </c>
      <c r="G33" s="1030"/>
      <c r="H33" s="520">
        <v>5.0000000000000001E-3</v>
      </c>
      <c r="I33" s="393" t="s">
        <v>103</v>
      </c>
      <c r="J33" s="393">
        <f>K33/150</f>
        <v>74.933333333333337</v>
      </c>
      <c r="K33" s="438">
        <f>L33-F33</f>
        <v>11240</v>
      </c>
      <c r="L33" s="409">
        <v>18000</v>
      </c>
      <c r="M33" s="238"/>
      <c r="N33" s="69"/>
    </row>
    <row r="34" spans="1:15" s="51" customFormat="1" ht="22.5" customHeight="1" x14ac:dyDescent="0.25">
      <c r="A34" s="477" t="s">
        <v>106</v>
      </c>
      <c r="B34" s="1047"/>
      <c r="C34" s="509">
        <f>5/182</f>
        <v>2.7472527472527472E-2</v>
      </c>
      <c r="D34" s="393" t="s">
        <v>82</v>
      </c>
      <c r="E34" s="393">
        <f>F34/254</f>
        <v>106.41732283464567</v>
      </c>
      <c r="F34" s="409">
        <v>27030</v>
      </c>
      <c r="G34" s="1030"/>
      <c r="H34" s="520">
        <f>5/150</f>
        <v>3.3333333333333333E-2</v>
      </c>
      <c r="I34" s="393" t="s">
        <v>82</v>
      </c>
      <c r="J34" s="393">
        <f>K34/150</f>
        <v>219.8</v>
      </c>
      <c r="K34" s="438">
        <f>L34-F34</f>
        <v>32970</v>
      </c>
      <c r="L34" s="409">
        <v>60000</v>
      </c>
      <c r="M34" s="238"/>
      <c r="N34" s="69"/>
    </row>
    <row r="35" spans="1:15" s="51" customFormat="1" ht="22.5" customHeight="1" x14ac:dyDescent="0.25">
      <c r="A35" s="477" t="s">
        <v>107</v>
      </c>
      <c r="B35" s="1047"/>
      <c r="C35" s="509">
        <f>1/182</f>
        <v>5.4945054945054949E-3</v>
      </c>
      <c r="D35" s="393" t="s">
        <v>82</v>
      </c>
      <c r="E35" s="393">
        <f>F35/254</f>
        <v>88.582677165354326</v>
      </c>
      <c r="F35" s="409">
        <v>22500</v>
      </c>
      <c r="G35" s="1030"/>
      <c r="H35" s="520">
        <f>1/222</f>
        <v>4.5045045045045045E-3</v>
      </c>
      <c r="I35" s="393" t="s">
        <v>82</v>
      </c>
      <c r="J35" s="393">
        <f>K35/150</f>
        <v>183.33333333333334</v>
      </c>
      <c r="K35" s="438">
        <f>L35-F35</f>
        <v>27500</v>
      </c>
      <c r="L35" s="409">
        <v>50000</v>
      </c>
      <c r="M35" s="238"/>
      <c r="N35" s="69"/>
    </row>
    <row r="36" spans="1:15" s="51" customFormat="1" ht="22.5" customHeight="1" x14ac:dyDescent="0.25">
      <c r="A36" s="477" t="s">
        <v>108</v>
      </c>
      <c r="B36" s="1047"/>
      <c r="C36" s="509"/>
      <c r="D36" s="393" t="s">
        <v>82</v>
      </c>
      <c r="E36" s="393"/>
      <c r="F36" s="409"/>
      <c r="G36" s="1030"/>
      <c r="H36" s="520"/>
      <c r="I36" s="393" t="s">
        <v>82</v>
      </c>
      <c r="J36" s="393"/>
      <c r="K36" s="438"/>
      <c r="L36" s="409"/>
      <c r="M36" s="238"/>
      <c r="N36" s="69"/>
    </row>
    <row r="37" spans="1:15" s="51" customFormat="1" ht="30.75" customHeight="1" thickBot="1" x14ac:dyDescent="0.3">
      <c r="A37" s="478" t="s">
        <v>109</v>
      </c>
      <c r="B37" s="1048"/>
      <c r="C37" s="510">
        <f>1/182</f>
        <v>5.4945054945054949E-3</v>
      </c>
      <c r="D37" s="397" t="s">
        <v>82</v>
      </c>
      <c r="E37" s="397">
        <f>F37/254</f>
        <v>141.88976377952756</v>
      </c>
      <c r="F37" s="411">
        <v>36040</v>
      </c>
      <c r="G37" s="1031"/>
      <c r="H37" s="759">
        <f>1/150</f>
        <v>6.6666666666666671E-3</v>
      </c>
      <c r="I37" s="397" t="s">
        <v>82</v>
      </c>
      <c r="J37" s="397">
        <f>K37/150</f>
        <v>293.06666666666666</v>
      </c>
      <c r="K37" s="439">
        <f>L37-F37</f>
        <v>43960</v>
      </c>
      <c r="L37" s="411">
        <v>80000</v>
      </c>
      <c r="M37" s="238"/>
      <c r="N37" s="69"/>
    </row>
    <row r="38" spans="1:15" ht="6.75" customHeight="1" x14ac:dyDescent="0.25">
      <c r="A38" s="479"/>
      <c r="B38" s="401"/>
      <c r="C38" s="508"/>
      <c r="D38" s="444"/>
      <c r="E38" s="444"/>
      <c r="F38" s="444"/>
      <c r="G38" s="401"/>
      <c r="H38" s="508"/>
      <c r="I38" s="444"/>
      <c r="J38" s="444"/>
      <c r="K38" s="442"/>
      <c r="L38" s="445"/>
      <c r="M38" s="164"/>
      <c r="N38" s="30"/>
    </row>
    <row r="39" spans="1:15" ht="16.5" thickBot="1" x14ac:dyDescent="0.3">
      <c r="A39" s="9"/>
      <c r="F39" s="737"/>
      <c r="G39" s="480"/>
      <c r="H39" s="521"/>
      <c r="I39" s="480"/>
      <c r="J39" s="480"/>
      <c r="K39" s="481" t="e">
        <f>'[1]норматив (ннсому) 2'!#REF!+'[1]норматив (ннсому) 2'!#REF!</f>
        <v>#REF!</v>
      </c>
      <c r="L39" s="446"/>
    </row>
    <row r="40" spans="1:15" ht="65.25" customHeight="1" x14ac:dyDescent="0.25">
      <c r="A40" s="482" t="s">
        <v>187</v>
      </c>
      <c r="B40" s="1049">
        <v>254</v>
      </c>
      <c r="C40" s="512"/>
      <c r="D40" s="483"/>
      <c r="E40" s="483"/>
      <c r="F40" s="447">
        <f>F5+F10+F22+F26+F30</f>
        <v>2858755</v>
      </c>
      <c r="G40" s="1051">
        <v>150</v>
      </c>
      <c r="H40" s="512"/>
      <c r="I40" s="483"/>
      <c r="J40" s="483">
        <f>K40/222</f>
        <v>11883.707207207208</v>
      </c>
      <c r="K40" s="448">
        <f>K5+K10+K22+K30+K26</f>
        <v>2638183</v>
      </c>
      <c r="L40" s="449">
        <f>F40+K40</f>
        <v>5496938</v>
      </c>
      <c r="N40" s="30"/>
      <c r="O40" s="30"/>
    </row>
    <row r="41" spans="1:15" ht="72.75" thickBot="1" x14ac:dyDescent="0.3">
      <c r="A41" s="484" t="s">
        <v>214</v>
      </c>
      <c r="B41" s="1050"/>
      <c r="C41" s="513"/>
      <c r="D41" s="485"/>
      <c r="E41" s="485"/>
      <c r="F41" s="450">
        <f>ДШИ!I5+'ДШИ 2'!F12</f>
        <v>7117048</v>
      </c>
      <c r="G41" s="1052"/>
      <c r="H41" s="513"/>
      <c r="I41" s="485"/>
      <c r="J41" s="485"/>
      <c r="K41" s="451">
        <f>ДШИ!N5+'ДШИ 2'!K12</f>
        <v>8681244</v>
      </c>
      <c r="L41" s="452">
        <f>F41+K41</f>
        <v>15798292</v>
      </c>
      <c r="M41" s="164"/>
    </row>
    <row r="42" spans="1:15" ht="16.5" thickBot="1" x14ac:dyDescent="0.3">
      <c r="A42" s="486" t="s">
        <v>69</v>
      </c>
      <c r="B42" s="453"/>
      <c r="C42" s="514"/>
      <c r="D42" s="453"/>
      <c r="E42" s="453"/>
      <c r="F42" s="453">
        <f>F40+F41</f>
        <v>9975803</v>
      </c>
      <c r="G42" s="453"/>
      <c r="H42" s="514"/>
      <c r="I42" s="453"/>
      <c r="J42" s="453"/>
      <c r="K42" s="454">
        <f>K40+K41</f>
        <v>11319427</v>
      </c>
      <c r="L42" s="455">
        <f>F42+K42</f>
        <v>21295230</v>
      </c>
      <c r="N42" s="30"/>
    </row>
    <row r="43" spans="1:15" ht="16.5" thickBot="1" x14ac:dyDescent="0.3">
      <c r="A43" s="9"/>
      <c r="F43" s="164">
        <f>F42/182</f>
        <v>54812.104395604394</v>
      </c>
      <c r="G43" s="151">
        <f>F43*182</f>
        <v>9975803</v>
      </c>
      <c r="K43" s="164">
        <f>K42/222</f>
        <v>50988.409909909911</v>
      </c>
      <c r="L43" s="164">
        <f>K43*222</f>
        <v>11319427</v>
      </c>
      <c r="M43" s="164">
        <f>G43+L43</f>
        <v>21295230</v>
      </c>
      <c r="N43" s="30"/>
      <c r="O43" s="30"/>
    </row>
    <row r="44" spans="1:15" ht="45" x14ac:dyDescent="0.25">
      <c r="A44" s="490" t="s">
        <v>188</v>
      </c>
      <c r="B44" s="1043"/>
      <c r="C44" s="1044"/>
      <c r="D44" s="1044"/>
      <c r="E44" s="1045"/>
      <c r="F44" s="488">
        <v>119520</v>
      </c>
      <c r="G44" s="480"/>
      <c r="H44" s="521"/>
      <c r="I44" s="480"/>
      <c r="J44" s="480"/>
      <c r="K44" s="480"/>
      <c r="L44" s="164"/>
      <c r="N44" s="30"/>
    </row>
    <row r="45" spans="1:15" ht="39" customHeight="1" thickBot="1" x14ac:dyDescent="0.3">
      <c r="A45" s="1041" t="s">
        <v>189</v>
      </c>
      <c r="B45" s="1042"/>
      <c r="C45" s="1042"/>
      <c r="D45" s="1042"/>
      <c r="E45" s="1042"/>
      <c r="F45" s="489">
        <f>400000+40700</f>
        <v>440700</v>
      </c>
      <c r="I45" s="164">
        <f>L42+F44-F45</f>
        <v>20974050</v>
      </c>
      <c r="K45" s="164"/>
      <c r="M45" s="164"/>
      <c r="N45" s="30"/>
      <c r="O45" s="30"/>
    </row>
    <row r="46" spans="1:15" x14ac:dyDescent="0.25">
      <c r="L46" s="164"/>
    </row>
    <row r="47" spans="1:15" x14ac:dyDescent="0.25">
      <c r="I47" s="823">
        <v>20974050</v>
      </c>
      <c r="K47" s="164"/>
    </row>
    <row r="48" spans="1:15" x14ac:dyDescent="0.25">
      <c r="K48" s="164"/>
    </row>
  </sheetData>
  <mergeCells count="19">
    <mergeCell ref="B26:B28"/>
    <mergeCell ref="G26:G28"/>
    <mergeCell ref="A45:E45"/>
    <mergeCell ref="B44:E44"/>
    <mergeCell ref="B30:B37"/>
    <mergeCell ref="G30:G37"/>
    <mergeCell ref="B40:B41"/>
    <mergeCell ref="G40:G41"/>
    <mergeCell ref="A1:L1"/>
    <mergeCell ref="B2:F2"/>
    <mergeCell ref="G2:K2"/>
    <mergeCell ref="B5:B8"/>
    <mergeCell ref="G5:G8"/>
    <mergeCell ref="B18:B20"/>
    <mergeCell ref="G18:G20"/>
    <mergeCell ref="B22:B24"/>
    <mergeCell ref="B10:B16"/>
    <mergeCell ref="G10:G16"/>
    <mergeCell ref="G22:G24"/>
  </mergeCells>
  <pageMargins left="0.25" right="0.25" top="0.75" bottom="0.75" header="0.3" footer="0.3"/>
  <pageSetup paperSize="9" scale="50" fitToHeight="0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7"/>
  <sheetViews>
    <sheetView topLeftCell="A43" workbookViewId="0">
      <selection activeCell="D37" sqref="D37"/>
    </sheetView>
  </sheetViews>
  <sheetFormatPr defaultRowHeight="15.75" x14ac:dyDescent="0.25"/>
  <cols>
    <col min="1" max="1" width="3.28515625" style="170" customWidth="1"/>
    <col min="2" max="2" width="23.28515625" style="170" customWidth="1"/>
    <col min="3" max="3" width="2.7109375" style="170" hidden="1" customWidth="1"/>
    <col min="4" max="5" width="17.85546875" style="170" customWidth="1"/>
    <col min="6" max="6" width="13.5703125" style="170" customWidth="1"/>
    <col min="7" max="7" width="18.42578125" style="170" customWidth="1"/>
    <col min="8" max="8" width="23.85546875" style="170" hidden="1" customWidth="1"/>
    <col min="9" max="9" width="13.7109375" style="170" hidden="1" customWidth="1"/>
    <col min="10" max="10" width="15.85546875" style="170" hidden="1" customWidth="1"/>
    <col min="11" max="11" width="13.5703125" style="170" hidden="1" customWidth="1"/>
    <col min="12" max="12" width="12.85546875" style="170" hidden="1" customWidth="1"/>
    <col min="13" max="13" width="15.7109375" style="170" hidden="1" customWidth="1"/>
    <col min="14" max="14" width="23.5703125" style="170" hidden="1" customWidth="1"/>
    <col min="15" max="15" width="9.140625" style="170"/>
    <col min="16" max="16" width="11.42578125" bestFit="1" customWidth="1"/>
    <col min="17" max="17" width="10" bestFit="1" customWidth="1"/>
    <col min="18" max="18" width="12.42578125" bestFit="1" customWidth="1"/>
  </cols>
  <sheetData>
    <row r="1" spans="1:17" ht="87.75" customHeight="1" x14ac:dyDescent="0.25">
      <c r="A1" s="1060" t="s">
        <v>147</v>
      </c>
      <c r="B1" s="1060"/>
      <c r="C1" s="1060"/>
      <c r="D1" s="1060"/>
      <c r="E1" s="1060"/>
      <c r="F1" s="1060"/>
      <c r="G1" s="1060"/>
      <c r="H1" s="1060"/>
      <c r="I1" s="1060"/>
      <c r="J1" s="1060"/>
      <c r="K1" s="1060"/>
      <c r="L1" s="1060"/>
      <c r="M1" s="1060"/>
      <c r="N1" s="151"/>
      <c r="O1" s="151"/>
    </row>
    <row r="2" spans="1:17" ht="65.25" customHeight="1" x14ac:dyDescent="0.25">
      <c r="A2" s="1061" t="s">
        <v>35</v>
      </c>
      <c r="B2" s="1063" t="s">
        <v>136</v>
      </c>
      <c r="C2" s="1063" t="s">
        <v>37</v>
      </c>
      <c r="D2" s="1065" t="s">
        <v>141</v>
      </c>
      <c r="E2" s="1066"/>
      <c r="F2" s="1066"/>
      <c r="G2" s="1067"/>
      <c r="H2" s="1063" t="s">
        <v>37</v>
      </c>
      <c r="I2" s="1065" t="s">
        <v>39</v>
      </c>
      <c r="J2" s="1066"/>
      <c r="K2" s="1066"/>
      <c r="L2" s="1066"/>
      <c r="M2" s="1067"/>
      <c r="N2" s="151"/>
      <c r="O2" s="151"/>
    </row>
    <row r="3" spans="1:17" ht="81.75" customHeight="1" x14ac:dyDescent="0.25">
      <c r="A3" s="1062"/>
      <c r="B3" s="1064"/>
      <c r="C3" s="1064"/>
      <c r="D3" s="152" t="s">
        <v>164</v>
      </c>
      <c r="E3" s="269"/>
      <c r="F3" s="153" t="s">
        <v>146</v>
      </c>
      <c r="G3" s="154" t="s">
        <v>44</v>
      </c>
      <c r="H3" s="1064"/>
      <c r="I3" s="152" t="s">
        <v>40</v>
      </c>
      <c r="J3" s="153" t="s">
        <v>137</v>
      </c>
      <c r="K3" s="153" t="s">
        <v>45</v>
      </c>
      <c r="L3" s="154" t="s">
        <v>43</v>
      </c>
      <c r="M3" s="154" t="s">
        <v>44</v>
      </c>
      <c r="N3" s="151"/>
      <c r="O3" s="151"/>
    </row>
    <row r="4" spans="1:17" ht="10.5" customHeight="1" x14ac:dyDescent="0.25">
      <c r="A4" s="155">
        <v>1</v>
      </c>
      <c r="B4" s="153">
        <v>2</v>
      </c>
      <c r="C4" s="153"/>
      <c r="D4" s="152">
        <v>3</v>
      </c>
      <c r="E4" s="269"/>
      <c r="F4" s="153">
        <v>4</v>
      </c>
      <c r="G4" s="154">
        <v>5</v>
      </c>
      <c r="H4" s="153"/>
      <c r="I4" s="152">
        <v>6</v>
      </c>
      <c r="J4" s="153">
        <v>7</v>
      </c>
      <c r="K4" s="153">
        <v>8</v>
      </c>
      <c r="L4" s="154">
        <v>9</v>
      </c>
      <c r="M4" s="154">
        <v>10</v>
      </c>
      <c r="N4" s="151"/>
      <c r="O4" s="151"/>
    </row>
    <row r="5" spans="1:17" ht="28.5" customHeight="1" x14ac:dyDescent="0.25">
      <c r="A5" s="156">
        <v>1</v>
      </c>
      <c r="B5" s="157" t="s">
        <v>126</v>
      </c>
      <c r="C5" s="158">
        <v>40</v>
      </c>
      <c r="D5" s="158">
        <v>42</v>
      </c>
      <c r="E5" s="157">
        <f>328/D5</f>
        <v>7.8095238095238093</v>
      </c>
      <c r="F5" s="157">
        <f>G5/D5</f>
        <v>3720</v>
      </c>
      <c r="G5" s="159">
        <f>Q5/3</f>
        <v>156240</v>
      </c>
      <c r="H5" s="160">
        <v>85</v>
      </c>
      <c r="I5" s="160"/>
      <c r="J5" s="159"/>
      <c r="K5" s="161"/>
      <c r="L5" s="162"/>
      <c r="M5" s="163"/>
      <c r="N5" s="164">
        <f>84707.96*12*1.302</f>
        <v>1323477.16704</v>
      </c>
      <c r="O5" s="151"/>
      <c r="P5" s="30">
        <f>(60000*12)*1.302</f>
        <v>937440</v>
      </c>
      <c r="Q5" s="30">
        <f>P5/2</f>
        <v>468720</v>
      </c>
    </row>
    <row r="6" spans="1:17" ht="28.5" customHeight="1" x14ac:dyDescent="0.25">
      <c r="A6" s="156">
        <v>2</v>
      </c>
      <c r="B6" s="157" t="s">
        <v>127</v>
      </c>
      <c r="C6" s="158"/>
      <c r="D6" s="158">
        <v>42</v>
      </c>
      <c r="E6" s="157">
        <f>656/D6</f>
        <v>15.619047619047619</v>
      </c>
      <c r="F6" s="157">
        <f t="shared" ref="F6:F18" si="0">G6/D6</f>
        <v>4340</v>
      </c>
      <c r="G6" s="159">
        <f t="shared" ref="G6:G14" si="1">P6/3</f>
        <v>182280</v>
      </c>
      <c r="H6" s="165"/>
      <c r="I6" s="165"/>
      <c r="J6" s="166"/>
      <c r="K6" s="167"/>
      <c r="L6" s="168"/>
      <c r="M6" s="169"/>
      <c r="N6" s="164"/>
      <c r="O6" s="151"/>
      <c r="P6" s="30">
        <f>35000*12*1.302</f>
        <v>546840</v>
      </c>
    </row>
    <row r="7" spans="1:17" ht="28.5" customHeight="1" x14ac:dyDescent="0.25">
      <c r="A7" s="156">
        <v>3</v>
      </c>
      <c r="B7" s="157" t="s">
        <v>128</v>
      </c>
      <c r="C7" s="158"/>
      <c r="D7" s="158">
        <v>42</v>
      </c>
      <c r="E7" s="157">
        <v>15.62</v>
      </c>
      <c r="F7" s="157">
        <f t="shared" si="0"/>
        <v>3100</v>
      </c>
      <c r="G7" s="159">
        <f t="shared" si="1"/>
        <v>130200</v>
      </c>
      <c r="H7" s="165"/>
      <c r="I7" s="165"/>
      <c r="J7" s="166"/>
      <c r="K7" s="167"/>
      <c r="L7" s="168"/>
      <c r="M7" s="169"/>
      <c r="N7" s="164"/>
      <c r="O7" s="151"/>
      <c r="P7" s="30">
        <f>25000*12*1.302</f>
        <v>390600</v>
      </c>
    </row>
    <row r="8" spans="1:17" s="51" customFormat="1" ht="28.5" customHeight="1" x14ac:dyDescent="0.25">
      <c r="A8" s="234">
        <v>4</v>
      </c>
      <c r="B8" s="157" t="s">
        <v>129</v>
      </c>
      <c r="C8" s="158"/>
      <c r="D8" s="158">
        <v>42</v>
      </c>
      <c r="E8" s="157">
        <f>15.62*2</f>
        <v>31.24</v>
      </c>
      <c r="F8" s="157">
        <f t="shared" si="0"/>
        <v>8680</v>
      </c>
      <c r="G8" s="159">
        <f>P8/3</f>
        <v>364560</v>
      </c>
      <c r="H8" s="165"/>
      <c r="I8" s="165"/>
      <c r="J8" s="166"/>
      <c r="K8" s="235"/>
      <c r="L8" s="236"/>
      <c r="M8" s="237"/>
      <c r="N8" s="238"/>
      <c r="O8" s="239"/>
      <c r="P8" s="69">
        <f>35000*12*1.302*2</f>
        <v>1093680</v>
      </c>
    </row>
    <row r="9" spans="1:17" s="51" customFormat="1" ht="28.5" customHeight="1" x14ac:dyDescent="0.25">
      <c r="A9" s="234">
        <v>5</v>
      </c>
      <c r="B9" s="157" t="s">
        <v>138</v>
      </c>
      <c r="C9" s="158"/>
      <c r="D9" s="158">
        <v>42</v>
      </c>
      <c r="E9" s="157">
        <v>15.62</v>
      </c>
      <c r="F9" s="157">
        <f t="shared" si="0"/>
        <v>3720</v>
      </c>
      <c r="G9" s="159">
        <f t="shared" si="1"/>
        <v>156240</v>
      </c>
      <c r="H9" s="165"/>
      <c r="I9" s="165"/>
      <c r="J9" s="166"/>
      <c r="K9" s="235"/>
      <c r="L9" s="236"/>
      <c r="M9" s="237"/>
      <c r="N9" s="238"/>
      <c r="O9" s="239"/>
      <c r="P9" s="69">
        <f>30000*12*1.302</f>
        <v>468720</v>
      </c>
    </row>
    <row r="10" spans="1:17" s="51" customFormat="1" ht="28.5" customHeight="1" x14ac:dyDescent="0.25">
      <c r="A10" s="234">
        <v>6</v>
      </c>
      <c r="B10" s="157" t="s">
        <v>130</v>
      </c>
      <c r="C10" s="158"/>
      <c r="D10" s="158">
        <v>42</v>
      </c>
      <c r="E10" s="157">
        <f>15.62/2</f>
        <v>7.81</v>
      </c>
      <c r="F10" s="157">
        <f t="shared" si="0"/>
        <v>1240</v>
      </c>
      <c r="G10" s="159">
        <f t="shared" si="1"/>
        <v>52080</v>
      </c>
      <c r="H10" s="165"/>
      <c r="I10" s="165"/>
      <c r="J10" s="166"/>
      <c r="K10" s="235"/>
      <c r="L10" s="236"/>
      <c r="M10" s="237"/>
      <c r="N10" s="238"/>
      <c r="O10" s="239"/>
      <c r="P10" s="69">
        <f>20000*12*1.302/2</f>
        <v>156240</v>
      </c>
    </row>
    <row r="11" spans="1:17" s="51" customFormat="1" ht="28.5" customHeight="1" x14ac:dyDescent="0.25">
      <c r="A11" s="234">
        <v>7</v>
      </c>
      <c r="B11" s="157" t="s">
        <v>132</v>
      </c>
      <c r="C11" s="158"/>
      <c r="D11" s="158">
        <v>42</v>
      </c>
      <c r="E11" s="157">
        <f>15.62</f>
        <v>15.62</v>
      </c>
      <c r="F11" s="157">
        <f t="shared" si="0"/>
        <v>4340</v>
      </c>
      <c r="G11" s="159">
        <f t="shared" si="1"/>
        <v>182280</v>
      </c>
      <c r="H11" s="165"/>
      <c r="I11" s="165"/>
      <c r="J11" s="166"/>
      <c r="K11" s="235"/>
      <c r="L11" s="236"/>
      <c r="M11" s="237"/>
      <c r="N11" s="238"/>
      <c r="O11" s="239"/>
      <c r="P11" s="69">
        <f>35000*12*1.302</f>
        <v>546840</v>
      </c>
    </row>
    <row r="12" spans="1:17" s="51" customFormat="1" ht="28.5" customHeight="1" x14ac:dyDescent="0.25">
      <c r="A12" s="234">
        <v>8</v>
      </c>
      <c r="B12" s="157" t="s">
        <v>131</v>
      </c>
      <c r="C12" s="158"/>
      <c r="D12" s="158">
        <v>42</v>
      </c>
      <c r="E12" s="157">
        <f>15.62*3</f>
        <v>46.86</v>
      </c>
      <c r="F12" s="157">
        <f t="shared" si="0"/>
        <v>9672</v>
      </c>
      <c r="G12" s="159">
        <f t="shared" si="1"/>
        <v>406224</v>
      </c>
      <c r="H12" s="165"/>
      <c r="I12" s="165"/>
      <c r="J12" s="166"/>
      <c r="K12" s="235"/>
      <c r="L12" s="236"/>
      <c r="M12" s="237"/>
      <c r="N12" s="238"/>
      <c r="O12" s="239"/>
      <c r="P12" s="69">
        <f>26000*12*1.302*3</f>
        <v>1218672</v>
      </c>
    </row>
    <row r="13" spans="1:17" s="51" customFormat="1" x14ac:dyDescent="0.25">
      <c r="A13" s="240">
        <v>9</v>
      </c>
      <c r="B13" s="241" t="s">
        <v>165</v>
      </c>
      <c r="C13" s="242"/>
      <c r="D13" s="243">
        <v>42</v>
      </c>
      <c r="E13" s="242">
        <f>15.62</f>
        <v>15.62</v>
      </c>
      <c r="F13" s="157">
        <f t="shared" si="0"/>
        <v>2951.2000000000003</v>
      </c>
      <c r="G13" s="242">
        <f t="shared" si="1"/>
        <v>123950.40000000001</v>
      </c>
      <c r="H13" s="244"/>
      <c r="I13" s="244"/>
      <c r="J13" s="244"/>
      <c r="K13" s="244"/>
      <c r="L13" s="245"/>
      <c r="M13" s="238">
        <f>G5+M5</f>
        <v>156240</v>
      </c>
      <c r="N13" s="238">
        <f>G5+M5</f>
        <v>156240</v>
      </c>
      <c r="O13" s="239"/>
      <c r="P13" s="69">
        <f>23800*12*1.302</f>
        <v>371851.2</v>
      </c>
    </row>
    <row r="14" spans="1:17" s="51" customFormat="1" x14ac:dyDescent="0.25">
      <c r="A14" s="240">
        <v>10</v>
      </c>
      <c r="B14" s="241" t="s">
        <v>139</v>
      </c>
      <c r="C14" s="242"/>
      <c r="D14" s="243">
        <v>42</v>
      </c>
      <c r="E14" s="242">
        <v>15.62</v>
      </c>
      <c r="F14" s="157">
        <f t="shared" si="0"/>
        <v>4340</v>
      </c>
      <c r="G14" s="242">
        <f t="shared" si="1"/>
        <v>182280</v>
      </c>
      <c r="H14" s="244"/>
      <c r="I14" s="244"/>
      <c r="J14" s="244"/>
      <c r="K14" s="244"/>
      <c r="L14" s="245"/>
      <c r="M14" s="238"/>
      <c r="N14" s="238"/>
      <c r="O14" s="239"/>
      <c r="P14" s="69">
        <f>35000*12*1.302</f>
        <v>546840</v>
      </c>
    </row>
    <row r="15" spans="1:17" s="51" customFormat="1" x14ac:dyDescent="0.25">
      <c r="A15" s="240">
        <v>11</v>
      </c>
      <c r="B15" s="241" t="s">
        <v>140</v>
      </c>
      <c r="C15" s="242"/>
      <c r="D15" s="243">
        <v>42</v>
      </c>
      <c r="E15" s="242">
        <f>15.62*3.5</f>
        <v>54.669999999999995</v>
      </c>
      <c r="F15" s="157">
        <f t="shared" si="0"/>
        <v>13193.600000000002</v>
      </c>
      <c r="G15" s="242">
        <f>P15/3</f>
        <v>554131.20000000007</v>
      </c>
      <c r="H15" s="244"/>
      <c r="I15" s="244"/>
      <c r="J15" s="244"/>
      <c r="K15" s="244"/>
      <c r="L15" s="245"/>
      <c r="M15" s="238"/>
      <c r="N15" s="238"/>
      <c r="O15" s="239"/>
      <c r="P15" s="69">
        <f>30400*12*1.302*3.5</f>
        <v>1662393.6</v>
      </c>
    </row>
    <row r="16" spans="1:17" s="51" customFormat="1" ht="31.5" x14ac:dyDescent="0.25">
      <c r="A16" s="240">
        <v>12</v>
      </c>
      <c r="B16" s="241" t="s">
        <v>133</v>
      </c>
      <c r="C16" s="242"/>
      <c r="D16" s="243">
        <v>42</v>
      </c>
      <c r="E16" s="242">
        <v>15.62</v>
      </c>
      <c r="F16" s="157">
        <f t="shared" si="0"/>
        <v>3472</v>
      </c>
      <c r="G16" s="242">
        <f>P16/3</f>
        <v>145824</v>
      </c>
      <c r="H16" s="244"/>
      <c r="I16" s="244"/>
      <c r="J16" s="244"/>
      <c r="K16" s="244"/>
      <c r="L16" s="245"/>
      <c r="M16" s="238"/>
      <c r="N16" s="238"/>
      <c r="O16" s="239"/>
      <c r="P16" s="69">
        <f>28000*12*1.302</f>
        <v>437472</v>
      </c>
    </row>
    <row r="17" spans="1:16" s="51" customFormat="1" ht="31.5" x14ac:dyDescent="0.25">
      <c r="A17" s="240">
        <v>13</v>
      </c>
      <c r="B17" s="241" t="s">
        <v>134</v>
      </c>
      <c r="C17" s="242"/>
      <c r="D17" s="243">
        <v>42</v>
      </c>
      <c r="E17" s="242">
        <v>15.62</v>
      </c>
      <c r="F17" s="157">
        <f t="shared" si="0"/>
        <v>3720</v>
      </c>
      <c r="G17" s="242">
        <f>P17/3</f>
        <v>156240</v>
      </c>
      <c r="H17" s="244"/>
      <c r="I17" s="244"/>
      <c r="J17" s="244"/>
      <c r="K17" s="244"/>
      <c r="L17" s="245"/>
      <c r="M17" s="238"/>
      <c r="N17" s="238"/>
      <c r="O17" s="239"/>
      <c r="P17" s="69">
        <f>30000*12*1.302</f>
        <v>468720</v>
      </c>
    </row>
    <row r="18" spans="1:16" s="51" customFormat="1" ht="31.5" x14ac:dyDescent="0.25">
      <c r="A18" s="240">
        <v>14</v>
      </c>
      <c r="B18" s="241" t="s">
        <v>135</v>
      </c>
      <c r="C18" s="242"/>
      <c r="D18" s="243">
        <v>42</v>
      </c>
      <c r="E18" s="242">
        <f>15.62*3</f>
        <v>46.86</v>
      </c>
      <c r="F18" s="157">
        <f t="shared" si="0"/>
        <v>11160</v>
      </c>
      <c r="G18" s="242">
        <f>P18/3</f>
        <v>468720</v>
      </c>
      <c r="H18" s="244"/>
      <c r="I18" s="244"/>
      <c r="J18" s="244"/>
      <c r="K18" s="244"/>
      <c r="L18" s="245"/>
      <c r="M18" s="238"/>
      <c r="N18" s="238"/>
      <c r="O18" s="239"/>
      <c r="P18" s="69">
        <f>30000*12*1.302*3</f>
        <v>1406160</v>
      </c>
    </row>
    <row r="19" spans="1:16" s="51" customFormat="1" x14ac:dyDescent="0.25">
      <c r="A19" s="246"/>
      <c r="B19" s="244"/>
      <c r="C19" s="244"/>
      <c r="D19" s="244"/>
      <c r="E19" s="244"/>
      <c r="F19" s="244">
        <f>F5+F6+F7+F8+F9+F10+F11+F12+F13+F14+F15+F16+F17+F18</f>
        <v>77648.800000000003</v>
      </c>
      <c r="G19" s="244">
        <f>G5+G6+G7+G8+G9+G10+G11+G12+G13+G14+G15+G16+G17+G18</f>
        <v>3261249.6</v>
      </c>
      <c r="H19" s="244"/>
      <c r="I19" s="244"/>
      <c r="J19" s="244"/>
      <c r="K19" s="244"/>
      <c r="L19" s="245"/>
      <c r="M19" s="238"/>
      <c r="N19" s="238"/>
      <c r="O19" s="239"/>
      <c r="P19" s="69"/>
    </row>
    <row r="20" spans="1:16" s="51" customFormat="1" x14ac:dyDescent="0.25">
      <c r="A20" s="239"/>
      <c r="B20" s="238"/>
      <c r="C20" s="238"/>
      <c r="D20" s="238"/>
      <c r="E20" s="238"/>
      <c r="F20" s="238"/>
      <c r="G20" s="238"/>
      <c r="H20" s="238"/>
      <c r="I20" s="238"/>
      <c r="J20" s="238"/>
      <c r="K20" s="238"/>
      <c r="L20" s="238"/>
      <c r="M20" s="238"/>
      <c r="N20" s="239"/>
      <c r="O20" s="239"/>
      <c r="P20" s="69"/>
    </row>
    <row r="21" spans="1:16" s="51" customFormat="1" ht="72" customHeight="1" x14ac:dyDescent="0.25">
      <c r="A21" s="1053" t="s">
        <v>35</v>
      </c>
      <c r="B21" s="1055" t="s">
        <v>136</v>
      </c>
      <c r="C21" s="1055" t="s">
        <v>37</v>
      </c>
      <c r="D21" s="1057" t="s">
        <v>142</v>
      </c>
      <c r="E21" s="1058"/>
      <c r="F21" s="1058"/>
      <c r="G21" s="1059"/>
      <c r="H21" s="238"/>
      <c r="I21" s="238"/>
      <c r="J21" s="238"/>
      <c r="K21" s="238"/>
      <c r="L21" s="238"/>
      <c r="M21" s="238"/>
      <c r="N21" s="239"/>
      <c r="O21" s="239"/>
      <c r="P21" s="69"/>
    </row>
    <row r="22" spans="1:16" s="51" customFormat="1" ht="47.25" x14ac:dyDescent="0.25">
      <c r="A22" s="1054"/>
      <c r="B22" s="1056"/>
      <c r="C22" s="1056"/>
      <c r="D22" s="247" t="s">
        <v>144</v>
      </c>
      <c r="E22" s="268"/>
      <c r="F22" s="248" t="s">
        <v>146</v>
      </c>
      <c r="G22" s="249" t="s">
        <v>44</v>
      </c>
      <c r="H22" s="238"/>
      <c r="I22" s="238"/>
      <c r="J22" s="238"/>
      <c r="K22" s="238"/>
      <c r="L22" s="238"/>
      <c r="M22" s="238"/>
      <c r="N22" s="239"/>
      <c r="O22" s="239"/>
      <c r="P22" s="69"/>
    </row>
    <row r="23" spans="1:16" s="51" customFormat="1" ht="12" customHeight="1" x14ac:dyDescent="0.25">
      <c r="A23" s="250">
        <v>1</v>
      </c>
      <c r="B23" s="248">
        <v>2</v>
      </c>
      <c r="C23" s="248"/>
      <c r="D23" s="247">
        <v>3</v>
      </c>
      <c r="E23" s="268"/>
      <c r="F23" s="248">
        <v>4</v>
      </c>
      <c r="G23" s="249">
        <v>5</v>
      </c>
      <c r="H23" s="238"/>
      <c r="I23" s="238"/>
      <c r="J23" s="238"/>
      <c r="K23" s="238"/>
      <c r="L23" s="238"/>
      <c r="M23" s="251"/>
      <c r="N23" s="239"/>
      <c r="O23" s="239"/>
      <c r="P23" s="69"/>
    </row>
    <row r="24" spans="1:16" s="51" customFormat="1" ht="27" customHeight="1" x14ac:dyDescent="0.25">
      <c r="A24" s="234">
        <v>1</v>
      </c>
      <c r="B24" s="157" t="s">
        <v>126</v>
      </c>
      <c r="C24" s="158">
        <v>40</v>
      </c>
      <c r="D24" s="158">
        <v>742</v>
      </c>
      <c r="E24" s="157">
        <f>328/D24</f>
        <v>0.44204851752021562</v>
      </c>
      <c r="F24" s="157">
        <f>G24/D24</f>
        <v>210.56603773584905</v>
      </c>
      <c r="G24" s="159">
        <f>G5</f>
        <v>156240</v>
      </c>
      <c r="H24" s="238"/>
      <c r="I24" s="238"/>
      <c r="J24" s="238"/>
      <c r="K24" s="238"/>
      <c r="L24" s="238"/>
      <c r="M24" s="239"/>
      <c r="N24" s="239"/>
      <c r="O24" s="239"/>
      <c r="P24" s="69"/>
    </row>
    <row r="25" spans="1:16" s="51" customFormat="1" ht="27" customHeight="1" x14ac:dyDescent="0.25">
      <c r="A25" s="234">
        <v>2</v>
      </c>
      <c r="B25" s="157" t="s">
        <v>127</v>
      </c>
      <c r="C25" s="158"/>
      <c r="D25" s="158">
        <v>742</v>
      </c>
      <c r="E25" s="157">
        <f>656/D25</f>
        <v>0.88409703504043125</v>
      </c>
      <c r="F25" s="157">
        <f t="shared" ref="F25:F37" si="2">G25/D25</f>
        <v>245.66037735849056</v>
      </c>
      <c r="G25" s="159">
        <f t="shared" ref="G25:G33" si="3">P6/3</f>
        <v>182280</v>
      </c>
      <c r="H25" s="238"/>
      <c r="I25" s="238"/>
      <c r="J25" s="238"/>
      <c r="K25" s="238"/>
      <c r="L25" s="238"/>
      <c r="M25" s="239"/>
      <c r="N25" s="239"/>
      <c r="O25" s="239"/>
      <c r="P25" s="69"/>
    </row>
    <row r="26" spans="1:16" s="51" customFormat="1" x14ac:dyDescent="0.25">
      <c r="A26" s="234">
        <v>3</v>
      </c>
      <c r="B26" s="157" t="s">
        <v>128</v>
      </c>
      <c r="C26" s="252"/>
      <c r="D26" s="243">
        <v>742</v>
      </c>
      <c r="E26" s="242">
        <v>1.52</v>
      </c>
      <c r="F26" s="157">
        <f t="shared" si="2"/>
        <v>175.47169811320754</v>
      </c>
      <c r="G26" s="242">
        <f t="shared" si="3"/>
        <v>130200</v>
      </c>
      <c r="H26" s="253"/>
      <c r="I26" s="253"/>
      <c r="J26" s="253"/>
      <c r="K26" s="253"/>
      <c r="L26" s="253"/>
      <c r="M26" s="254"/>
      <c r="N26" s="254"/>
      <c r="O26" s="254"/>
      <c r="P26" s="69"/>
    </row>
    <row r="27" spans="1:16" s="51" customFormat="1" ht="31.5" x14ac:dyDescent="0.25">
      <c r="A27" s="234">
        <v>4</v>
      </c>
      <c r="B27" s="157" t="s">
        <v>129</v>
      </c>
      <c r="C27" s="252"/>
      <c r="D27" s="243">
        <v>742</v>
      </c>
      <c r="E27" s="242">
        <f>1.52*2</f>
        <v>3.04</v>
      </c>
      <c r="F27" s="157">
        <f t="shared" si="2"/>
        <v>491.32075471698113</v>
      </c>
      <c r="G27" s="242">
        <f t="shared" si="3"/>
        <v>364560</v>
      </c>
      <c r="H27" s="253"/>
      <c r="I27" s="253"/>
      <c r="J27" s="253"/>
      <c r="K27" s="253"/>
      <c r="L27" s="253"/>
      <c r="M27" s="254"/>
      <c r="N27" s="254"/>
      <c r="O27" s="254"/>
      <c r="P27" s="69"/>
    </row>
    <row r="28" spans="1:16" s="51" customFormat="1" ht="31.5" x14ac:dyDescent="0.25">
      <c r="A28" s="234">
        <v>5</v>
      </c>
      <c r="B28" s="157" t="s">
        <v>138</v>
      </c>
      <c r="C28" s="252"/>
      <c r="D28" s="243">
        <v>742</v>
      </c>
      <c r="E28" s="242">
        <v>1.52</v>
      </c>
      <c r="F28" s="157">
        <f t="shared" si="2"/>
        <v>210.56603773584905</v>
      </c>
      <c r="G28" s="242">
        <f t="shared" si="3"/>
        <v>156240</v>
      </c>
      <c r="H28" s="253"/>
      <c r="I28" s="253"/>
      <c r="J28" s="253"/>
      <c r="K28" s="253"/>
      <c r="L28" s="253"/>
      <c r="M28" s="254"/>
      <c r="N28" s="254"/>
      <c r="O28" s="254"/>
      <c r="P28" s="69"/>
    </row>
    <row r="29" spans="1:16" s="51" customFormat="1" x14ac:dyDescent="0.25">
      <c r="A29" s="234">
        <v>6</v>
      </c>
      <c r="B29" s="157" t="s">
        <v>130</v>
      </c>
      <c r="C29" s="252"/>
      <c r="D29" s="243">
        <v>742</v>
      </c>
      <c r="E29" s="242">
        <f>1.52/2</f>
        <v>0.76</v>
      </c>
      <c r="F29" s="157">
        <f t="shared" si="2"/>
        <v>70.188679245283012</v>
      </c>
      <c r="G29" s="242">
        <f t="shared" si="3"/>
        <v>52080</v>
      </c>
      <c r="H29" s="253"/>
      <c r="I29" s="253"/>
      <c r="J29" s="253"/>
      <c r="K29" s="253"/>
      <c r="L29" s="253"/>
      <c r="M29" s="254"/>
      <c r="N29" s="254"/>
      <c r="O29" s="254"/>
      <c r="P29" s="69"/>
    </row>
    <row r="30" spans="1:16" s="51" customFormat="1" ht="31.5" x14ac:dyDescent="0.25">
      <c r="A30" s="234">
        <v>7</v>
      </c>
      <c r="B30" s="157" t="s">
        <v>132</v>
      </c>
      <c r="C30" s="252"/>
      <c r="D30" s="243">
        <v>742</v>
      </c>
      <c r="E30" s="242">
        <v>1.52</v>
      </c>
      <c r="F30" s="157">
        <f t="shared" si="2"/>
        <v>245.66037735849056</v>
      </c>
      <c r="G30" s="242">
        <f t="shared" si="3"/>
        <v>182280</v>
      </c>
      <c r="H30" s="253"/>
      <c r="I30" s="253"/>
      <c r="J30" s="253"/>
      <c r="K30" s="253"/>
      <c r="L30" s="253"/>
      <c r="M30" s="254"/>
      <c r="N30" s="254"/>
      <c r="O30" s="254"/>
      <c r="P30" s="69"/>
    </row>
    <row r="31" spans="1:16" s="51" customFormat="1" ht="31.5" x14ac:dyDescent="0.25">
      <c r="A31" s="234">
        <v>8</v>
      </c>
      <c r="B31" s="157" t="s">
        <v>131</v>
      </c>
      <c r="C31" s="252"/>
      <c r="D31" s="243">
        <v>742</v>
      </c>
      <c r="E31" s="242">
        <f>1.52*3</f>
        <v>4.5600000000000005</v>
      </c>
      <c r="F31" s="157">
        <f t="shared" si="2"/>
        <v>547.47169811320759</v>
      </c>
      <c r="G31" s="242">
        <f t="shared" si="3"/>
        <v>406224</v>
      </c>
      <c r="H31" s="253"/>
      <c r="I31" s="253"/>
      <c r="J31" s="253"/>
      <c r="K31" s="253"/>
      <c r="L31" s="253"/>
      <c r="M31" s="254"/>
      <c r="N31" s="254"/>
      <c r="O31" s="254"/>
      <c r="P31" s="69"/>
    </row>
    <row r="32" spans="1:16" s="51" customFormat="1" x14ac:dyDescent="0.25">
      <c r="A32" s="240">
        <v>9</v>
      </c>
      <c r="B32" s="241" t="s">
        <v>165</v>
      </c>
      <c r="C32" s="252"/>
      <c r="D32" s="243">
        <v>742</v>
      </c>
      <c r="E32" s="242">
        <f>1.52</f>
        <v>1.52</v>
      </c>
      <c r="F32" s="157">
        <f t="shared" si="2"/>
        <v>167.04905660377361</v>
      </c>
      <c r="G32" s="242">
        <f t="shared" si="3"/>
        <v>123950.40000000001</v>
      </c>
      <c r="H32" s="253"/>
      <c r="I32" s="253"/>
      <c r="J32" s="253"/>
      <c r="K32" s="253"/>
      <c r="L32" s="253"/>
      <c r="M32" s="254"/>
      <c r="N32" s="254"/>
      <c r="O32" s="254"/>
      <c r="P32" s="69"/>
    </row>
    <row r="33" spans="1:16" s="51" customFormat="1" x14ac:dyDescent="0.25">
      <c r="A33" s="240">
        <v>10</v>
      </c>
      <c r="B33" s="241" t="s">
        <v>139</v>
      </c>
      <c r="C33" s="252"/>
      <c r="D33" s="243">
        <v>742</v>
      </c>
      <c r="E33" s="242">
        <v>1.52</v>
      </c>
      <c r="F33" s="157">
        <f t="shared" si="2"/>
        <v>245.66037735849056</v>
      </c>
      <c r="G33" s="242">
        <f t="shared" si="3"/>
        <v>182280</v>
      </c>
      <c r="H33" s="253"/>
      <c r="I33" s="253"/>
      <c r="J33" s="253"/>
      <c r="K33" s="253"/>
      <c r="L33" s="253"/>
      <c r="M33" s="254"/>
      <c r="N33" s="254"/>
      <c r="O33" s="254"/>
      <c r="P33" s="69"/>
    </row>
    <row r="34" spans="1:16" s="51" customFormat="1" x14ac:dyDescent="0.25">
      <c r="A34" s="240">
        <v>11</v>
      </c>
      <c r="B34" s="241" t="s">
        <v>140</v>
      </c>
      <c r="C34" s="252"/>
      <c r="D34" s="243">
        <v>742</v>
      </c>
      <c r="E34" s="242">
        <f>1.52*3.5</f>
        <v>5.32</v>
      </c>
      <c r="F34" s="157">
        <f t="shared" si="2"/>
        <v>746.80754716981141</v>
      </c>
      <c r="G34" s="242">
        <f>P15/3</f>
        <v>554131.20000000007</v>
      </c>
      <c r="H34" s="253"/>
      <c r="I34" s="253"/>
      <c r="J34" s="253"/>
      <c r="K34" s="253"/>
      <c r="L34" s="253"/>
      <c r="M34" s="254"/>
      <c r="N34" s="254"/>
      <c r="O34" s="254"/>
      <c r="P34" s="69"/>
    </row>
    <row r="35" spans="1:16" s="51" customFormat="1" ht="31.5" x14ac:dyDescent="0.25">
      <c r="A35" s="240">
        <v>12</v>
      </c>
      <c r="B35" s="241" t="s">
        <v>133</v>
      </c>
      <c r="C35" s="252"/>
      <c r="D35" s="243">
        <v>742</v>
      </c>
      <c r="E35" s="242">
        <v>1.52</v>
      </c>
      <c r="F35" s="157">
        <f t="shared" si="2"/>
        <v>196.52830188679246</v>
      </c>
      <c r="G35" s="242">
        <f>P16/3</f>
        <v>145824</v>
      </c>
      <c r="H35" s="253"/>
      <c r="I35" s="253"/>
      <c r="J35" s="253"/>
      <c r="K35" s="253"/>
      <c r="L35" s="253"/>
      <c r="M35" s="254"/>
      <c r="N35" s="254"/>
      <c r="O35" s="254"/>
      <c r="P35" s="69"/>
    </row>
    <row r="36" spans="1:16" s="51" customFormat="1" ht="31.5" x14ac:dyDescent="0.25">
      <c r="A36" s="240">
        <v>13</v>
      </c>
      <c r="B36" s="241" t="s">
        <v>134</v>
      </c>
      <c r="C36" s="252"/>
      <c r="D36" s="243">
        <v>742</v>
      </c>
      <c r="E36" s="242">
        <v>1.52</v>
      </c>
      <c r="F36" s="157">
        <f t="shared" si="2"/>
        <v>210.56603773584905</v>
      </c>
      <c r="G36" s="242">
        <f>P17/3</f>
        <v>156240</v>
      </c>
      <c r="H36" s="253"/>
      <c r="I36" s="253"/>
      <c r="J36" s="253"/>
      <c r="K36" s="253"/>
      <c r="L36" s="253"/>
      <c r="M36" s="254"/>
      <c r="N36" s="254"/>
      <c r="O36" s="254"/>
      <c r="P36" s="69"/>
    </row>
    <row r="37" spans="1:16" s="51" customFormat="1" ht="31.5" x14ac:dyDescent="0.25">
      <c r="A37" s="240">
        <v>14</v>
      </c>
      <c r="B37" s="241" t="s">
        <v>135</v>
      </c>
      <c r="C37" s="252"/>
      <c r="D37" s="243">
        <v>742</v>
      </c>
      <c r="E37" s="242">
        <f>1.52*3</f>
        <v>4.5600000000000005</v>
      </c>
      <c r="F37" s="157">
        <f t="shared" si="2"/>
        <v>631.69811320754718</v>
      </c>
      <c r="G37" s="242">
        <f>P18/3</f>
        <v>468720</v>
      </c>
      <c r="H37" s="253"/>
      <c r="I37" s="253"/>
      <c r="J37" s="253"/>
      <c r="K37" s="253"/>
      <c r="L37" s="253"/>
      <c r="M37" s="254"/>
      <c r="N37" s="254"/>
      <c r="O37" s="254"/>
      <c r="P37" s="69"/>
    </row>
    <row r="38" spans="1:16" s="51" customFormat="1" x14ac:dyDescent="0.25">
      <c r="A38" s="255"/>
      <c r="B38" s="256"/>
      <c r="C38" s="256"/>
      <c r="D38" s="256"/>
      <c r="E38" s="256"/>
      <c r="F38" s="256">
        <f>F24+F25+F26+F27+F28+F29+F30+F31+F32+F33+F34+F35+F36+F37</f>
        <v>4395.2150943396236</v>
      </c>
      <c r="G38" s="256">
        <f>G24+G25+G26+G27+G28+G29+G30+G31+G32+G33+G34+G35+G36+G37</f>
        <v>3261249.6</v>
      </c>
      <c r="H38" s="253"/>
      <c r="I38" s="253"/>
      <c r="J38" s="253"/>
      <c r="K38" s="253"/>
      <c r="L38" s="253"/>
      <c r="M38" s="254"/>
      <c r="N38" s="254"/>
      <c r="O38" s="254"/>
      <c r="P38" s="69"/>
    </row>
    <row r="39" spans="1:16" s="51" customFormat="1" x14ac:dyDescent="0.25">
      <c r="A39" s="254"/>
      <c r="B39" s="253"/>
      <c r="C39" s="253"/>
      <c r="D39" s="253"/>
      <c r="E39" s="253"/>
      <c r="F39" s="253"/>
      <c r="G39" s="253"/>
      <c r="H39" s="253"/>
      <c r="I39" s="253"/>
      <c r="J39" s="253"/>
      <c r="K39" s="253"/>
      <c r="L39" s="253"/>
      <c r="M39" s="254"/>
      <c r="N39" s="254"/>
      <c r="O39" s="254"/>
      <c r="P39" s="69"/>
    </row>
    <row r="40" spans="1:16" s="51" customFormat="1" ht="76.5" customHeight="1" x14ac:dyDescent="0.25">
      <c r="A40" s="1053" t="s">
        <v>35</v>
      </c>
      <c r="B40" s="1055" t="s">
        <v>136</v>
      </c>
      <c r="C40" s="1055" t="s">
        <v>37</v>
      </c>
      <c r="D40" s="1057" t="s">
        <v>183</v>
      </c>
      <c r="E40" s="1058"/>
      <c r="F40" s="1058"/>
      <c r="G40" s="1059"/>
      <c r="H40" s="253"/>
      <c r="I40" s="253"/>
      <c r="J40" s="253"/>
      <c r="K40" s="253"/>
      <c r="L40" s="253"/>
      <c r="M40" s="254"/>
      <c r="N40" s="254"/>
      <c r="O40" s="254"/>
      <c r="P40" s="69"/>
    </row>
    <row r="41" spans="1:16" s="51" customFormat="1" ht="47.25" x14ac:dyDescent="0.25">
      <c r="A41" s="1054"/>
      <c r="B41" s="1056"/>
      <c r="C41" s="1056"/>
      <c r="D41" s="247" t="s">
        <v>145</v>
      </c>
      <c r="E41" s="268"/>
      <c r="F41" s="248" t="s">
        <v>146</v>
      </c>
      <c r="G41" s="249" t="s">
        <v>44</v>
      </c>
      <c r="H41" s="254"/>
      <c r="I41" s="254"/>
      <c r="J41" s="254"/>
      <c r="K41" s="254"/>
      <c r="L41" s="254"/>
      <c r="M41" s="254"/>
      <c r="N41" s="254"/>
      <c r="O41" s="254"/>
      <c r="P41" s="69"/>
    </row>
    <row r="42" spans="1:16" s="51" customFormat="1" ht="11.25" customHeight="1" x14ac:dyDescent="0.25">
      <c r="A42" s="250">
        <v>1</v>
      </c>
      <c r="B42" s="248">
        <v>2</v>
      </c>
      <c r="C42" s="248"/>
      <c r="D42" s="247">
        <v>3</v>
      </c>
      <c r="E42" s="268"/>
      <c r="F42" s="248">
        <v>4</v>
      </c>
      <c r="G42" s="249">
        <v>5</v>
      </c>
      <c r="H42" s="254"/>
      <c r="I42" s="254"/>
      <c r="J42" s="254"/>
      <c r="K42" s="254"/>
      <c r="L42" s="254"/>
      <c r="M42" s="254"/>
      <c r="N42" s="254"/>
      <c r="O42" s="254"/>
      <c r="P42" s="69"/>
    </row>
    <row r="43" spans="1:16" s="51" customFormat="1" ht="24.75" customHeight="1" x14ac:dyDescent="0.25">
      <c r="A43" s="234">
        <v>1</v>
      </c>
      <c r="B43" s="157" t="s">
        <v>126</v>
      </c>
      <c r="C43" s="158">
        <v>40</v>
      </c>
      <c r="D43" s="158">
        <v>10</v>
      </c>
      <c r="E43" s="157">
        <f>328/10</f>
        <v>32.799999999999997</v>
      </c>
      <c r="F43" s="157">
        <f>G43/D43</f>
        <v>15624</v>
      </c>
      <c r="G43" s="159">
        <f>G24</f>
        <v>156240</v>
      </c>
      <c r="H43" s="254"/>
      <c r="I43" s="254"/>
      <c r="J43" s="254"/>
      <c r="K43" s="254"/>
      <c r="L43" s="254"/>
      <c r="M43" s="254"/>
      <c r="N43" s="254"/>
      <c r="O43" s="254"/>
      <c r="P43" s="69"/>
    </row>
    <row r="44" spans="1:16" s="51" customFormat="1" ht="29.25" customHeight="1" x14ac:dyDescent="0.25">
      <c r="A44" s="234">
        <v>2</v>
      </c>
      <c r="B44" s="157" t="s">
        <v>127</v>
      </c>
      <c r="C44" s="257"/>
      <c r="D44" s="258">
        <v>10</v>
      </c>
      <c r="E44" s="242">
        <f>656/D44</f>
        <v>65.599999999999994</v>
      </c>
      <c r="F44" s="157">
        <f t="shared" ref="F44:F56" si="4">G44/D44</f>
        <v>18228</v>
      </c>
      <c r="G44" s="242">
        <f t="shared" ref="G44:G52" si="5">P6/3</f>
        <v>182280</v>
      </c>
      <c r="H44" s="254"/>
      <c r="I44" s="254"/>
      <c r="J44" s="254"/>
      <c r="K44" s="254"/>
      <c r="L44" s="254"/>
      <c r="M44" s="254"/>
      <c r="N44" s="254"/>
      <c r="O44" s="254"/>
      <c r="P44" s="69"/>
    </row>
    <row r="45" spans="1:16" s="51" customFormat="1" x14ac:dyDescent="0.25">
      <c r="A45" s="234">
        <v>3</v>
      </c>
      <c r="B45" s="157" t="s">
        <v>128</v>
      </c>
      <c r="C45" s="257"/>
      <c r="D45" s="258">
        <v>10</v>
      </c>
      <c r="E45" s="242">
        <v>65.599999999999994</v>
      </c>
      <c r="F45" s="157">
        <f t="shared" si="4"/>
        <v>13020</v>
      </c>
      <c r="G45" s="242">
        <f t="shared" si="5"/>
        <v>130200</v>
      </c>
      <c r="H45" s="254"/>
      <c r="I45" s="254"/>
      <c r="J45" s="254"/>
      <c r="K45" s="254"/>
      <c r="L45" s="254"/>
      <c r="M45" s="254"/>
      <c r="N45" s="254"/>
      <c r="O45" s="254"/>
      <c r="P45" s="69"/>
    </row>
    <row r="46" spans="1:16" s="51" customFormat="1" ht="31.5" x14ac:dyDescent="0.25">
      <c r="A46" s="234">
        <v>4</v>
      </c>
      <c r="B46" s="157" t="s">
        <v>129</v>
      </c>
      <c r="C46" s="257"/>
      <c r="D46" s="258">
        <v>10</v>
      </c>
      <c r="E46" s="242">
        <f>65.5*2</f>
        <v>131</v>
      </c>
      <c r="F46" s="157">
        <f t="shared" si="4"/>
        <v>36456</v>
      </c>
      <c r="G46" s="242">
        <f t="shared" si="5"/>
        <v>364560</v>
      </c>
      <c r="H46" s="254"/>
      <c r="I46" s="254"/>
      <c r="J46" s="254"/>
      <c r="K46" s="254"/>
      <c r="L46" s="254"/>
      <c r="M46" s="254"/>
      <c r="N46" s="254"/>
      <c r="O46" s="254"/>
      <c r="P46" s="69"/>
    </row>
    <row r="47" spans="1:16" s="51" customFormat="1" ht="31.5" x14ac:dyDescent="0.25">
      <c r="A47" s="234">
        <v>5</v>
      </c>
      <c r="B47" s="157" t="s">
        <v>138</v>
      </c>
      <c r="C47" s="257"/>
      <c r="D47" s="258">
        <v>10</v>
      </c>
      <c r="E47" s="242">
        <v>65.599999999999994</v>
      </c>
      <c r="F47" s="157">
        <f t="shared" si="4"/>
        <v>15624</v>
      </c>
      <c r="G47" s="242">
        <f t="shared" si="5"/>
        <v>156240</v>
      </c>
      <c r="H47" s="254"/>
      <c r="I47" s="254"/>
      <c r="J47" s="254"/>
      <c r="K47" s="254"/>
      <c r="L47" s="254"/>
      <c r="M47" s="254"/>
      <c r="N47" s="254"/>
      <c r="O47" s="254"/>
      <c r="P47" s="69"/>
    </row>
    <row r="48" spans="1:16" s="51" customFormat="1" x14ac:dyDescent="0.25">
      <c r="A48" s="234">
        <v>6</v>
      </c>
      <c r="B48" s="157" t="s">
        <v>130</v>
      </c>
      <c r="C48" s="257"/>
      <c r="D48" s="258">
        <v>10</v>
      </c>
      <c r="E48" s="242">
        <f>65.6/2</f>
        <v>32.799999999999997</v>
      </c>
      <c r="F48" s="157">
        <f t="shared" si="4"/>
        <v>5208</v>
      </c>
      <c r="G48" s="242">
        <f t="shared" si="5"/>
        <v>52080</v>
      </c>
      <c r="H48" s="254"/>
      <c r="I48" s="254"/>
      <c r="J48" s="254"/>
      <c r="K48" s="254"/>
      <c r="L48" s="254"/>
      <c r="M48" s="254"/>
      <c r="N48" s="254"/>
      <c r="O48" s="254"/>
      <c r="P48" s="69"/>
    </row>
    <row r="49" spans="1:18" s="51" customFormat="1" ht="31.5" x14ac:dyDescent="0.25">
      <c r="A49" s="234">
        <v>7</v>
      </c>
      <c r="B49" s="157" t="s">
        <v>132</v>
      </c>
      <c r="C49" s="257"/>
      <c r="D49" s="258">
        <v>10</v>
      </c>
      <c r="E49" s="242">
        <v>65.599999999999994</v>
      </c>
      <c r="F49" s="157">
        <f t="shared" si="4"/>
        <v>18228</v>
      </c>
      <c r="G49" s="242">
        <f t="shared" si="5"/>
        <v>182280</v>
      </c>
      <c r="H49" s="254"/>
      <c r="I49" s="254"/>
      <c r="J49" s="254"/>
      <c r="K49" s="254"/>
      <c r="L49" s="254"/>
      <c r="M49" s="254"/>
      <c r="N49" s="254"/>
      <c r="O49" s="254"/>
      <c r="P49" s="69"/>
    </row>
    <row r="50" spans="1:18" s="51" customFormat="1" ht="31.5" x14ac:dyDescent="0.25">
      <c r="A50" s="234">
        <v>8</v>
      </c>
      <c r="B50" s="157" t="s">
        <v>131</v>
      </c>
      <c r="C50" s="257"/>
      <c r="D50" s="258">
        <v>10</v>
      </c>
      <c r="E50" s="242">
        <f>65.6*3</f>
        <v>196.79999999999998</v>
      </c>
      <c r="F50" s="157">
        <f t="shared" si="4"/>
        <v>40622.400000000001</v>
      </c>
      <c r="G50" s="242">
        <f t="shared" si="5"/>
        <v>406224</v>
      </c>
      <c r="H50" s="254"/>
      <c r="I50" s="254"/>
      <c r="J50" s="254"/>
      <c r="K50" s="254"/>
      <c r="L50" s="254"/>
      <c r="M50" s="254"/>
      <c r="N50" s="254"/>
      <c r="O50" s="254"/>
      <c r="P50" s="69"/>
    </row>
    <row r="51" spans="1:18" s="51" customFormat="1" x14ac:dyDescent="0.25">
      <c r="A51" s="240">
        <v>9</v>
      </c>
      <c r="B51" s="241" t="s">
        <v>165</v>
      </c>
      <c r="C51" s="257"/>
      <c r="D51" s="258">
        <v>10</v>
      </c>
      <c r="E51" s="242">
        <f>65.6</f>
        <v>65.599999999999994</v>
      </c>
      <c r="F51" s="157">
        <f t="shared" si="4"/>
        <v>12395.04</v>
      </c>
      <c r="G51" s="242">
        <f t="shared" si="5"/>
        <v>123950.40000000001</v>
      </c>
      <c r="H51" s="254"/>
      <c r="I51" s="254"/>
      <c r="J51" s="254"/>
      <c r="K51" s="254"/>
      <c r="L51" s="254"/>
      <c r="M51" s="254"/>
      <c r="N51" s="254"/>
      <c r="O51" s="254"/>
      <c r="P51" s="69"/>
    </row>
    <row r="52" spans="1:18" s="51" customFormat="1" x14ac:dyDescent="0.25">
      <c r="A52" s="240">
        <v>10</v>
      </c>
      <c r="B52" s="241" t="s">
        <v>139</v>
      </c>
      <c r="C52" s="257"/>
      <c r="D52" s="258">
        <v>10</v>
      </c>
      <c r="E52" s="242">
        <v>65.599999999999994</v>
      </c>
      <c r="F52" s="157">
        <f t="shared" si="4"/>
        <v>18228</v>
      </c>
      <c r="G52" s="242">
        <f t="shared" si="5"/>
        <v>182280</v>
      </c>
      <c r="H52" s="254"/>
      <c r="I52" s="254"/>
      <c r="J52" s="254"/>
      <c r="K52" s="254"/>
      <c r="L52" s="254"/>
      <c r="M52" s="254"/>
      <c r="N52" s="254"/>
      <c r="O52" s="254"/>
      <c r="P52" s="69"/>
    </row>
    <row r="53" spans="1:18" s="51" customFormat="1" x14ac:dyDescent="0.25">
      <c r="A53" s="240">
        <v>11</v>
      </c>
      <c r="B53" s="241" t="s">
        <v>140</v>
      </c>
      <c r="C53" s="257"/>
      <c r="D53" s="258">
        <v>10</v>
      </c>
      <c r="E53" s="242">
        <f>65.6*3.5</f>
        <v>229.59999999999997</v>
      </c>
      <c r="F53" s="157">
        <f t="shared" si="4"/>
        <v>55413.12000000001</v>
      </c>
      <c r="G53" s="242">
        <f>P15/3</f>
        <v>554131.20000000007</v>
      </c>
      <c r="H53" s="254"/>
      <c r="I53" s="254"/>
      <c r="J53" s="254"/>
      <c r="K53" s="254"/>
      <c r="L53" s="254"/>
      <c r="M53" s="254"/>
      <c r="N53" s="254"/>
      <c r="O53" s="254"/>
      <c r="P53" s="69"/>
    </row>
    <row r="54" spans="1:18" s="51" customFormat="1" ht="31.5" x14ac:dyDescent="0.25">
      <c r="A54" s="240">
        <v>12</v>
      </c>
      <c r="B54" s="241" t="s">
        <v>133</v>
      </c>
      <c r="C54" s="257"/>
      <c r="D54" s="258">
        <v>10</v>
      </c>
      <c r="E54" s="242">
        <v>65.599999999999994</v>
      </c>
      <c r="F54" s="157">
        <f t="shared" si="4"/>
        <v>14582.4</v>
      </c>
      <c r="G54" s="242">
        <f>P16/3</f>
        <v>145824</v>
      </c>
      <c r="H54" s="254"/>
      <c r="I54" s="254"/>
      <c r="J54" s="254"/>
      <c r="K54" s="254"/>
      <c r="L54" s="254"/>
      <c r="M54" s="254"/>
      <c r="N54" s="254"/>
      <c r="O54" s="254"/>
      <c r="P54" s="69"/>
    </row>
    <row r="55" spans="1:18" s="51" customFormat="1" ht="31.5" x14ac:dyDescent="0.25">
      <c r="A55" s="240">
        <v>13</v>
      </c>
      <c r="B55" s="241" t="s">
        <v>134</v>
      </c>
      <c r="C55" s="257"/>
      <c r="D55" s="258">
        <v>10</v>
      </c>
      <c r="E55" s="242">
        <v>65.599999999999994</v>
      </c>
      <c r="F55" s="157">
        <f t="shared" si="4"/>
        <v>15624</v>
      </c>
      <c r="G55" s="242">
        <f>P17/3</f>
        <v>156240</v>
      </c>
      <c r="H55" s="254"/>
      <c r="I55" s="254"/>
      <c r="J55" s="254"/>
      <c r="K55" s="254"/>
      <c r="L55" s="254"/>
      <c r="M55" s="254"/>
      <c r="N55" s="254"/>
      <c r="O55" s="254"/>
      <c r="P55" s="69"/>
    </row>
    <row r="56" spans="1:18" s="51" customFormat="1" ht="31.5" x14ac:dyDescent="0.25">
      <c r="A56" s="240">
        <v>14</v>
      </c>
      <c r="B56" s="241" t="s">
        <v>135</v>
      </c>
      <c r="C56" s="257"/>
      <c r="D56" s="258">
        <v>10</v>
      </c>
      <c r="E56" s="242">
        <f>65.6*3</f>
        <v>196.79999999999998</v>
      </c>
      <c r="F56" s="157">
        <f t="shared" si="4"/>
        <v>46872</v>
      </c>
      <c r="G56" s="242">
        <f>P18/3</f>
        <v>468720</v>
      </c>
      <c r="H56" s="254"/>
      <c r="I56" s="254"/>
      <c r="J56" s="254"/>
      <c r="K56" s="254"/>
      <c r="L56" s="254"/>
      <c r="M56" s="254"/>
      <c r="N56" s="254"/>
      <c r="O56" s="254"/>
      <c r="P56" s="69"/>
    </row>
    <row r="57" spans="1:18" s="51" customFormat="1" x14ac:dyDescent="0.25">
      <c r="A57" s="254"/>
      <c r="B57" s="254"/>
      <c r="C57" s="254"/>
      <c r="D57" s="254"/>
      <c r="E57" s="254"/>
      <c r="F57" s="253">
        <f>F43+F44+F45+F46+F47+F48+F49+F50+F51+F52+F53+F54+F55+F56</f>
        <v>326124.96000000002</v>
      </c>
      <c r="G57" s="253">
        <f>G43+G44+G45+G46+G47+G48+G49+G50+G51+G52+G53+G54+G55+G56</f>
        <v>3261249.6</v>
      </c>
      <c r="H57" s="254"/>
      <c r="I57" s="254"/>
      <c r="J57" s="254"/>
      <c r="K57" s="254"/>
      <c r="L57" s="254"/>
      <c r="M57" s="254"/>
      <c r="N57" s="254"/>
      <c r="O57" s="254"/>
    </row>
    <row r="58" spans="1:18" s="51" customFormat="1" x14ac:dyDescent="0.25">
      <c r="A58" s="254"/>
      <c r="B58" s="254"/>
      <c r="C58" s="254"/>
      <c r="D58" s="254"/>
      <c r="E58" s="254"/>
      <c r="F58" s="254"/>
      <c r="G58" s="254"/>
      <c r="H58" s="254"/>
      <c r="I58" s="254"/>
      <c r="J58" s="254"/>
      <c r="K58" s="254"/>
      <c r="L58" s="254"/>
      <c r="M58" s="254"/>
      <c r="N58" s="254"/>
      <c r="O58" s="254"/>
    </row>
    <row r="59" spans="1:18" s="51" customFormat="1" x14ac:dyDescent="0.25">
      <c r="A59" s="254"/>
      <c r="B59" s="254"/>
      <c r="C59" s="254"/>
      <c r="D59" s="254"/>
      <c r="E59" s="254"/>
      <c r="F59" s="254"/>
      <c r="G59" s="253">
        <f>G5+G6+G7+G8+G9+G10+G11+G12+G13+G14+G15+G16+G17+G18+G24+G25+G26+G27+G28+G29+G30+G31+G32+G33+G34+G35+G36+G37+G43+G44+G45+G46+G47+G48+G49+G50+G51+G52+G53+G54+G55+G56</f>
        <v>9783748.8000000007</v>
      </c>
      <c r="H59" s="254"/>
      <c r="I59" s="254"/>
      <c r="J59" s="254"/>
      <c r="K59" s="254"/>
      <c r="L59" s="254"/>
      <c r="M59" s="254"/>
      <c r="N59" s="254"/>
      <c r="O59" s="254"/>
    </row>
    <row r="61" spans="1:18" x14ac:dyDescent="0.25">
      <c r="B61" s="272">
        <f>'ЦКС 3'!E45</f>
        <v>67183.058730158722</v>
      </c>
      <c r="D61" s="270">
        <f>'ЦКС 2'!C13</f>
        <v>818.80952380952374</v>
      </c>
      <c r="E61" s="270"/>
      <c r="F61" s="270">
        <f>F5+F6+F7+F8+F9+F10+F11+F12+F13+F14+F15+F16+F17+F18</f>
        <v>77648.800000000003</v>
      </c>
      <c r="G61" s="170">
        <v>42</v>
      </c>
      <c r="P61" s="30">
        <f>B61+D61+F61</f>
        <v>145650.66825396824</v>
      </c>
      <c r="R61" s="30">
        <f>G61*P61</f>
        <v>6117328.0666666664</v>
      </c>
    </row>
    <row r="62" spans="1:18" x14ac:dyDescent="0.25">
      <c r="B62" s="273"/>
      <c r="P62" s="30"/>
      <c r="R62" s="30"/>
    </row>
    <row r="63" spans="1:18" x14ac:dyDescent="0.25">
      <c r="B63" s="272">
        <f>'ЦКС 3'!Q45</f>
        <v>3802.8298292902059</v>
      </c>
      <c r="D63" s="270">
        <f>'ЦКС 2'!C27</f>
        <v>46.347708894878707</v>
      </c>
      <c r="E63" s="270"/>
      <c r="F63" s="270">
        <f>F24+F25+F26+F27+F28+F29+F30+F31+F32+F33+F34+F35+F36+F37</f>
        <v>4395.2150943396236</v>
      </c>
      <c r="G63" s="271">
        <f>D35</f>
        <v>742</v>
      </c>
      <c r="P63" s="30">
        <f t="shared" ref="P63:P65" si="6">B63+D63+F63</f>
        <v>8244.3926325247085</v>
      </c>
      <c r="R63" s="30">
        <f t="shared" ref="R63:R65" si="7">G63*P63</f>
        <v>6117339.333333334</v>
      </c>
    </row>
    <row r="64" spans="1:18" x14ac:dyDescent="0.25">
      <c r="B64" s="273"/>
      <c r="P64" s="30"/>
      <c r="R64" s="30"/>
    </row>
    <row r="65" spans="2:18" x14ac:dyDescent="0.25">
      <c r="B65" s="272">
        <f>'ЦКС 3'!V45</f>
        <v>282166.80000000005</v>
      </c>
      <c r="D65" s="270">
        <f>'ЦКС 2'!C41</f>
        <v>3439</v>
      </c>
      <c r="E65" s="270"/>
      <c r="F65" s="270">
        <f>F43+F44+F45+F46+F47+F48+F49+F50+F51+F52+F53+F54+F55+F56</f>
        <v>326124.96000000002</v>
      </c>
      <c r="G65" s="170">
        <v>10</v>
      </c>
      <c r="P65" s="30">
        <f t="shared" si="6"/>
        <v>611730.76</v>
      </c>
      <c r="R65" s="30">
        <f t="shared" si="7"/>
        <v>6117307.5999999996</v>
      </c>
    </row>
    <row r="66" spans="2:18" x14ac:dyDescent="0.25">
      <c r="R66" s="30"/>
    </row>
    <row r="67" spans="2:18" x14ac:dyDescent="0.25">
      <c r="R67" s="30">
        <f>R61+R63+R65</f>
        <v>18351975</v>
      </c>
    </row>
  </sheetData>
  <mergeCells count="15">
    <mergeCell ref="A1:M1"/>
    <mergeCell ref="A2:A3"/>
    <mergeCell ref="B2:B3"/>
    <mergeCell ref="C2:C3"/>
    <mergeCell ref="D2:G2"/>
    <mergeCell ref="H2:H3"/>
    <mergeCell ref="I2:M2"/>
    <mergeCell ref="A21:A22"/>
    <mergeCell ref="B21:B22"/>
    <mergeCell ref="C21:C22"/>
    <mergeCell ref="D21:G21"/>
    <mergeCell ref="A40:A41"/>
    <mergeCell ref="B40:B41"/>
    <mergeCell ref="C40:C41"/>
    <mergeCell ref="D40:G40"/>
  </mergeCells>
  <pageMargins left="0.25" right="0.25" top="0.75" bottom="0.75" header="0.3" footer="0.3"/>
  <pageSetup paperSize="9" scale="87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zoomScale="115" zoomScaleNormal="115" workbookViewId="0">
      <pane xSplit="1" ySplit="3" topLeftCell="B19" activePane="bottomRight" state="frozen"/>
      <selection activeCell="E5" sqref="E5"/>
      <selection pane="topRight" activeCell="E5" sqref="E5"/>
      <selection pane="bottomLeft" activeCell="E5" sqref="E5"/>
      <selection pane="bottomRight" activeCell="M20" sqref="M20"/>
    </sheetView>
  </sheetViews>
  <sheetFormatPr defaultRowHeight="15.75" x14ac:dyDescent="0.25"/>
  <cols>
    <col min="1" max="1" width="27" customWidth="1"/>
    <col min="2" max="2" width="14.42578125" customWidth="1"/>
    <col min="3" max="3" width="15.85546875" customWidth="1"/>
    <col min="4" max="4" width="16.85546875" customWidth="1"/>
    <col min="5" max="5" width="9.140625" hidden="1" customWidth="1"/>
    <col min="6" max="8" width="12.140625" hidden="1" customWidth="1"/>
    <col min="9" max="9" width="9.140625" hidden="1" customWidth="1"/>
    <col min="11" max="11" width="14" style="151" customWidth="1"/>
    <col min="12" max="12" width="12.140625" style="151" customWidth="1"/>
    <col min="13" max="13" width="12.5703125" style="151" customWidth="1"/>
  </cols>
  <sheetData>
    <row r="1" spans="1:14" ht="89.25" customHeight="1" x14ac:dyDescent="0.25">
      <c r="A1" s="842" t="s">
        <v>175</v>
      </c>
      <c r="B1" s="842"/>
      <c r="C1" s="842"/>
      <c r="D1" s="842"/>
      <c r="E1" s="842"/>
      <c r="F1" s="842"/>
      <c r="G1" s="842"/>
      <c r="H1" s="842"/>
      <c r="K1" s="274"/>
      <c r="L1" s="275"/>
      <c r="M1" s="275"/>
      <c r="N1" s="30"/>
    </row>
    <row r="2" spans="1:14" s="51" customFormat="1" ht="55.5" customHeight="1" x14ac:dyDescent="0.25">
      <c r="A2" s="870" t="s">
        <v>47</v>
      </c>
      <c r="B2" s="1068" t="s">
        <v>148</v>
      </c>
      <c r="C2" s="1068"/>
      <c r="D2" s="1068"/>
      <c r="E2" s="1069" t="s">
        <v>48</v>
      </c>
      <c r="F2" s="848" t="s">
        <v>39</v>
      </c>
      <c r="G2" s="849"/>
      <c r="H2" s="849"/>
      <c r="K2" s="1071" t="s">
        <v>176</v>
      </c>
      <c r="L2" s="1071" t="s">
        <v>65</v>
      </c>
      <c r="M2" s="1072" t="s">
        <v>177</v>
      </c>
      <c r="N2" s="69"/>
    </row>
    <row r="3" spans="1:14" s="51" customFormat="1" ht="61.5" customHeight="1" x14ac:dyDescent="0.25">
      <c r="A3" s="870"/>
      <c r="B3" s="10" t="s">
        <v>164</v>
      </c>
      <c r="C3" s="10" t="s">
        <v>146</v>
      </c>
      <c r="D3" s="10" t="s">
        <v>44</v>
      </c>
      <c r="E3" s="1070"/>
      <c r="F3" s="137" t="s">
        <v>49</v>
      </c>
      <c r="G3" s="138" t="s">
        <v>50</v>
      </c>
      <c r="H3" s="139" t="s">
        <v>51</v>
      </c>
      <c r="I3" s="140" t="s">
        <v>52</v>
      </c>
      <c r="K3" s="1071"/>
      <c r="L3" s="1071"/>
      <c r="M3" s="1073"/>
      <c r="N3" s="69"/>
    </row>
    <row r="4" spans="1:14" s="51" customFormat="1" ht="13.5" customHeight="1" x14ac:dyDescent="0.25">
      <c r="A4" s="150">
        <v>1</v>
      </c>
      <c r="B4" s="137">
        <v>2</v>
      </c>
      <c r="C4" s="137">
        <v>3</v>
      </c>
      <c r="D4" s="137">
        <v>4</v>
      </c>
      <c r="E4" s="105"/>
      <c r="F4" s="137"/>
      <c r="G4" s="138"/>
      <c r="H4" s="139"/>
      <c r="I4" s="140"/>
      <c r="K4" s="276"/>
      <c r="L4" s="276"/>
      <c r="M4" s="276"/>
      <c r="N4" s="69"/>
    </row>
    <row r="5" spans="1:14" s="51" customFormat="1" x14ac:dyDescent="0.25">
      <c r="A5" s="141" t="s">
        <v>149</v>
      </c>
      <c r="B5" s="142">
        <v>42</v>
      </c>
      <c r="C5" s="142">
        <f>D5/B5</f>
        <v>178.57142857142858</v>
      </c>
      <c r="D5" s="54">
        <v>7500</v>
      </c>
      <c r="E5" s="1074"/>
      <c r="F5" s="54"/>
      <c r="G5" s="54"/>
      <c r="H5" s="143">
        <f>G5*1100</f>
        <v>0</v>
      </c>
      <c r="I5" s="142">
        <v>600</v>
      </c>
      <c r="K5" s="277">
        <v>15</v>
      </c>
      <c r="L5" s="276" t="s">
        <v>167</v>
      </c>
      <c r="M5" s="276">
        <f>K5/B5</f>
        <v>0.35714285714285715</v>
      </c>
      <c r="N5" s="69"/>
    </row>
    <row r="6" spans="1:14" s="51" customFormat="1" ht="25.5" x14ac:dyDescent="0.25">
      <c r="A6" s="141" t="s">
        <v>169</v>
      </c>
      <c r="B6" s="142">
        <v>42</v>
      </c>
      <c r="C6" s="142">
        <f t="shared" ref="C6:C12" si="0">D6/B6</f>
        <v>7.1428571428571432</v>
      </c>
      <c r="D6" s="54">
        <v>300</v>
      </c>
      <c r="E6" s="1075"/>
      <c r="F6" s="54"/>
      <c r="G6" s="54"/>
      <c r="H6" s="143"/>
      <c r="I6" s="142"/>
      <c r="K6" s="277">
        <v>300</v>
      </c>
      <c r="L6" s="276" t="s">
        <v>168</v>
      </c>
      <c r="M6" s="276">
        <f t="shared" ref="M6:M11" si="1">K6/B6</f>
        <v>7.1428571428571432</v>
      </c>
      <c r="N6" s="69"/>
    </row>
    <row r="7" spans="1:14" s="51" customFormat="1" ht="22.5" customHeight="1" x14ac:dyDescent="0.25">
      <c r="A7" s="141" t="s">
        <v>170</v>
      </c>
      <c r="B7" s="142">
        <v>42</v>
      </c>
      <c r="C7" s="142">
        <f t="shared" si="0"/>
        <v>7.1428571428571432</v>
      </c>
      <c r="D7" s="54">
        <v>300</v>
      </c>
      <c r="E7" s="1075"/>
      <c r="F7" s="54"/>
      <c r="G7" s="54"/>
      <c r="H7" s="143">
        <f>G7*350</f>
        <v>0</v>
      </c>
      <c r="I7" s="142">
        <v>500</v>
      </c>
      <c r="K7" s="277">
        <v>15</v>
      </c>
      <c r="L7" s="276" t="s">
        <v>168</v>
      </c>
      <c r="M7" s="276">
        <f t="shared" si="1"/>
        <v>0.35714285714285715</v>
      </c>
      <c r="N7" s="69"/>
    </row>
    <row r="8" spans="1:14" s="51" customFormat="1" ht="22.5" customHeight="1" x14ac:dyDescent="0.25">
      <c r="A8" s="141" t="s">
        <v>174</v>
      </c>
      <c r="B8" s="142">
        <v>42</v>
      </c>
      <c r="C8" s="142">
        <f t="shared" si="0"/>
        <v>4.0476190476190474</v>
      </c>
      <c r="D8" s="54">
        <v>170</v>
      </c>
      <c r="E8" s="1075"/>
      <c r="F8" s="54"/>
      <c r="G8" s="54"/>
      <c r="H8" s="143"/>
      <c r="I8" s="142"/>
      <c r="K8" s="277">
        <v>10</v>
      </c>
      <c r="L8" s="276" t="s">
        <v>168</v>
      </c>
      <c r="M8" s="276">
        <f t="shared" si="1"/>
        <v>0.23809523809523808</v>
      </c>
      <c r="N8" s="69"/>
    </row>
    <row r="9" spans="1:14" s="51" customFormat="1" ht="22.5" customHeight="1" x14ac:dyDescent="0.25">
      <c r="A9" s="141" t="s">
        <v>171</v>
      </c>
      <c r="B9" s="142">
        <v>42</v>
      </c>
      <c r="C9" s="142">
        <f t="shared" si="0"/>
        <v>4.0476190476190474</v>
      </c>
      <c r="D9" s="54">
        <v>170</v>
      </c>
      <c r="E9" s="1075"/>
      <c r="F9" s="54"/>
      <c r="G9" s="54"/>
      <c r="H9" s="143"/>
      <c r="I9" s="142"/>
      <c r="K9" s="277">
        <v>17</v>
      </c>
      <c r="L9" s="276" t="s">
        <v>168</v>
      </c>
      <c r="M9" s="276">
        <f t="shared" si="1"/>
        <v>0.40476190476190477</v>
      </c>
      <c r="N9" s="69"/>
    </row>
    <row r="10" spans="1:14" s="51" customFormat="1" ht="22.5" customHeight="1" x14ac:dyDescent="0.25">
      <c r="A10" s="141" t="s">
        <v>172</v>
      </c>
      <c r="B10" s="142">
        <v>42</v>
      </c>
      <c r="C10" s="142">
        <f t="shared" si="0"/>
        <v>4.7619047619047619</v>
      </c>
      <c r="D10" s="54">
        <v>200</v>
      </c>
      <c r="E10" s="1075"/>
      <c r="F10" s="54"/>
      <c r="G10" s="54"/>
      <c r="H10" s="143"/>
      <c r="I10" s="142"/>
      <c r="K10" s="277">
        <v>5</v>
      </c>
      <c r="L10" s="276" t="s">
        <v>168</v>
      </c>
      <c r="M10" s="276">
        <f t="shared" si="1"/>
        <v>0.11904761904761904</v>
      </c>
      <c r="N10" s="69"/>
    </row>
    <row r="11" spans="1:14" s="51" customFormat="1" ht="30.75" customHeight="1" x14ac:dyDescent="0.25">
      <c r="A11" s="141" t="s">
        <v>173</v>
      </c>
      <c r="B11" s="142">
        <v>42</v>
      </c>
      <c r="C11" s="142">
        <f t="shared" si="0"/>
        <v>5.9523809523809526</v>
      </c>
      <c r="D11" s="54">
        <v>250</v>
      </c>
      <c r="E11" s="1075"/>
      <c r="F11" s="54"/>
      <c r="G11" s="54"/>
      <c r="H11" s="143"/>
      <c r="I11" s="142"/>
      <c r="K11" s="277">
        <v>5</v>
      </c>
      <c r="L11" s="276" t="s">
        <v>168</v>
      </c>
      <c r="M11" s="276">
        <f t="shared" si="1"/>
        <v>0.11904761904761904</v>
      </c>
      <c r="N11" s="69"/>
    </row>
    <row r="12" spans="1:14" s="51" customFormat="1" ht="25.5" x14ac:dyDescent="0.25">
      <c r="A12" s="141" t="s">
        <v>166</v>
      </c>
      <c r="B12" s="142">
        <v>42</v>
      </c>
      <c r="C12" s="142">
        <f t="shared" si="0"/>
        <v>607.14285714285711</v>
      </c>
      <c r="D12" s="54">
        <v>25500</v>
      </c>
      <c r="E12" s="1075"/>
      <c r="F12" s="54"/>
      <c r="G12" s="54"/>
      <c r="H12" s="143">
        <f>G12*120</f>
        <v>0</v>
      </c>
      <c r="I12" s="142">
        <v>70</v>
      </c>
      <c r="K12" s="277">
        <v>5</v>
      </c>
      <c r="L12" s="276" t="s">
        <v>168</v>
      </c>
      <c r="M12" s="276">
        <f>K12/B12</f>
        <v>0.11904761904761904</v>
      </c>
      <c r="N12" s="69"/>
    </row>
    <row r="13" spans="1:14" s="51" customFormat="1" x14ac:dyDescent="0.25">
      <c r="A13" s="171" t="s">
        <v>63</v>
      </c>
      <c r="B13" s="172"/>
      <c r="C13" s="145">
        <f>C5+C6+C7+C8+C9+C10+C11+C12</f>
        <v>818.80952380952374</v>
      </c>
      <c r="D13" s="145">
        <f>D5+D6+D7+D8+D9+D10+D11+D12</f>
        <v>34390</v>
      </c>
      <c r="E13" s="149"/>
      <c r="F13" s="149"/>
      <c r="G13" s="149"/>
      <c r="H13" s="143" t="e">
        <f>H5+H7+H12+#REF!+#REF!+#REF!+#REF!+#REF!+#REF!+#REF!</f>
        <v>#REF!</v>
      </c>
      <c r="K13" s="276"/>
      <c r="L13" s="276"/>
      <c r="M13" s="276"/>
      <c r="N13" s="69"/>
    </row>
    <row r="14" spans="1:14" x14ac:dyDescent="0.25">
      <c r="H14" s="23" t="e">
        <f>D13+H13</f>
        <v>#REF!</v>
      </c>
      <c r="K14" s="275"/>
      <c r="L14" s="275"/>
      <c r="M14" s="275"/>
      <c r="N14" s="30"/>
    </row>
    <row r="15" spans="1:14" x14ac:dyDescent="0.25">
      <c r="B15" s="31"/>
      <c r="H15" s="30"/>
      <c r="K15" s="275"/>
      <c r="L15" s="275"/>
      <c r="M15" s="275"/>
      <c r="N15" s="30"/>
    </row>
    <row r="16" spans="1:14" ht="48" customHeight="1" x14ac:dyDescent="0.25">
      <c r="A16" s="870" t="s">
        <v>47</v>
      </c>
      <c r="B16" s="1068" t="s">
        <v>150</v>
      </c>
      <c r="C16" s="1068"/>
      <c r="D16" s="1068"/>
      <c r="H16" s="30"/>
      <c r="K16" s="163"/>
      <c r="L16" s="163"/>
      <c r="M16" s="163"/>
      <c r="N16" s="30"/>
    </row>
    <row r="17" spans="1:14" ht="25.5" x14ac:dyDescent="0.25">
      <c r="A17" s="870"/>
      <c r="B17" s="10" t="s">
        <v>144</v>
      </c>
      <c r="C17" s="10" t="s">
        <v>146</v>
      </c>
      <c r="D17" s="10" t="s">
        <v>44</v>
      </c>
      <c r="H17" s="30"/>
      <c r="K17" s="163"/>
      <c r="L17" s="163"/>
      <c r="M17" s="163"/>
      <c r="N17" s="30"/>
    </row>
    <row r="18" spans="1:14" x14ac:dyDescent="0.25">
      <c r="A18" s="150">
        <v>1</v>
      </c>
      <c r="B18" s="137">
        <v>2</v>
      </c>
      <c r="C18" s="137">
        <v>3</v>
      </c>
      <c r="D18" s="137">
        <v>4</v>
      </c>
      <c r="K18" s="163"/>
      <c r="L18" s="163"/>
      <c r="M18" s="163"/>
      <c r="N18" s="30"/>
    </row>
    <row r="19" spans="1:14" x14ac:dyDescent="0.25">
      <c r="A19" s="141" t="s">
        <v>149</v>
      </c>
      <c r="B19" s="142">
        <v>742</v>
      </c>
      <c r="C19" s="142">
        <f>D19/B19</f>
        <v>10.107816711590296</v>
      </c>
      <c r="D19" s="54">
        <v>7500</v>
      </c>
      <c r="K19" s="277">
        <v>15</v>
      </c>
      <c r="L19" s="276" t="s">
        <v>167</v>
      </c>
      <c r="M19" s="163">
        <f>K19/B19</f>
        <v>2.0215633423180591E-2</v>
      </c>
      <c r="N19" s="30"/>
    </row>
    <row r="20" spans="1:14" ht="25.5" x14ac:dyDescent="0.25">
      <c r="A20" s="141" t="s">
        <v>169</v>
      </c>
      <c r="B20" s="142">
        <v>742</v>
      </c>
      <c r="C20" s="142">
        <f t="shared" ref="C20:C26" si="2">D20/B20</f>
        <v>0.40431266846361186</v>
      </c>
      <c r="D20" s="54">
        <v>300</v>
      </c>
      <c r="K20" s="277">
        <v>300</v>
      </c>
      <c r="L20" s="276" t="s">
        <v>168</v>
      </c>
      <c r="M20" s="163">
        <f t="shared" ref="M20:M26" si="3">K20/B20</f>
        <v>0.40431266846361186</v>
      </c>
      <c r="N20" s="30"/>
    </row>
    <row r="21" spans="1:14" x14ac:dyDescent="0.25">
      <c r="A21" s="141" t="s">
        <v>170</v>
      </c>
      <c r="B21" s="142">
        <v>742</v>
      </c>
      <c r="C21" s="142">
        <f t="shared" si="2"/>
        <v>0.40431266846361186</v>
      </c>
      <c r="D21" s="54">
        <v>300</v>
      </c>
      <c r="K21" s="277">
        <v>15</v>
      </c>
      <c r="L21" s="276" t="s">
        <v>168</v>
      </c>
      <c r="M21" s="163">
        <f t="shared" si="3"/>
        <v>2.0215633423180591E-2</v>
      </c>
      <c r="N21" s="30"/>
    </row>
    <row r="22" spans="1:14" x14ac:dyDescent="0.25">
      <c r="A22" s="141" t="s">
        <v>174</v>
      </c>
      <c r="B22" s="142">
        <v>742</v>
      </c>
      <c r="C22" s="142">
        <f t="shared" si="2"/>
        <v>0.22911051212938005</v>
      </c>
      <c r="D22" s="54">
        <v>170</v>
      </c>
      <c r="K22" s="277">
        <v>10</v>
      </c>
      <c r="L22" s="276" t="s">
        <v>168</v>
      </c>
      <c r="M22" s="163">
        <f t="shared" si="3"/>
        <v>1.3477088948787063E-2</v>
      </c>
      <c r="N22" s="30"/>
    </row>
    <row r="23" spans="1:14" x14ac:dyDescent="0.25">
      <c r="A23" s="141" t="s">
        <v>171</v>
      </c>
      <c r="B23" s="142">
        <v>742</v>
      </c>
      <c r="C23" s="142">
        <f t="shared" si="2"/>
        <v>0.22911051212938005</v>
      </c>
      <c r="D23" s="54">
        <v>170</v>
      </c>
      <c r="K23" s="277">
        <v>17</v>
      </c>
      <c r="L23" s="276" t="s">
        <v>168</v>
      </c>
      <c r="M23" s="163">
        <f t="shared" si="3"/>
        <v>2.2911051212938006E-2</v>
      </c>
      <c r="N23" s="30"/>
    </row>
    <row r="24" spans="1:14" x14ac:dyDescent="0.25">
      <c r="A24" s="141" t="s">
        <v>172</v>
      </c>
      <c r="B24" s="142">
        <v>742</v>
      </c>
      <c r="C24" s="142">
        <f t="shared" si="2"/>
        <v>0.26954177897574122</v>
      </c>
      <c r="D24" s="54">
        <v>200</v>
      </c>
      <c r="K24" s="277">
        <v>5</v>
      </c>
      <c r="L24" s="276" t="s">
        <v>168</v>
      </c>
      <c r="M24" s="163">
        <f t="shared" si="3"/>
        <v>6.7385444743935314E-3</v>
      </c>
      <c r="N24" s="30"/>
    </row>
    <row r="25" spans="1:14" ht="25.5" x14ac:dyDescent="0.25">
      <c r="A25" s="141" t="s">
        <v>173</v>
      </c>
      <c r="B25" s="142">
        <v>742</v>
      </c>
      <c r="C25" s="142">
        <f t="shared" si="2"/>
        <v>0.33692722371967654</v>
      </c>
      <c r="D25" s="54">
        <v>250</v>
      </c>
      <c r="K25" s="277">
        <v>5</v>
      </c>
      <c r="L25" s="276" t="s">
        <v>168</v>
      </c>
      <c r="M25" s="163">
        <f t="shared" si="3"/>
        <v>6.7385444743935314E-3</v>
      </c>
      <c r="N25" s="30"/>
    </row>
    <row r="26" spans="1:14" ht="25.5" x14ac:dyDescent="0.25">
      <c r="A26" s="141" t="s">
        <v>166</v>
      </c>
      <c r="B26" s="142">
        <v>742</v>
      </c>
      <c r="C26" s="142">
        <f t="shared" si="2"/>
        <v>34.366576819407008</v>
      </c>
      <c r="D26" s="54">
        <v>25500</v>
      </c>
      <c r="K26" s="277">
        <v>5</v>
      </c>
      <c r="L26" s="276" t="s">
        <v>168</v>
      </c>
      <c r="M26" s="278">
        <f t="shared" si="3"/>
        <v>6.7385444743935314E-3</v>
      </c>
      <c r="N26" s="30"/>
    </row>
    <row r="27" spans="1:14" x14ac:dyDescent="0.25">
      <c r="A27" s="171" t="s">
        <v>63</v>
      </c>
      <c r="B27" s="172"/>
      <c r="C27" s="145">
        <f>C19+C20+C21+C22+C23+C24+C25+C26</f>
        <v>46.347708894878707</v>
      </c>
      <c r="D27" s="145">
        <f>D19+D20+D21+D22+D23+D24+D25+D26</f>
        <v>34390</v>
      </c>
      <c r="K27" s="163"/>
      <c r="L27" s="163"/>
      <c r="M27" s="163"/>
      <c r="N27" s="30"/>
    </row>
    <row r="28" spans="1:14" x14ac:dyDescent="0.25">
      <c r="K28" s="275"/>
      <c r="L28" s="275"/>
      <c r="M28" s="275"/>
      <c r="N28" s="30"/>
    </row>
    <row r="29" spans="1:14" x14ac:dyDescent="0.25">
      <c r="K29" s="275"/>
      <c r="L29" s="275"/>
      <c r="M29" s="275"/>
      <c r="N29" s="30"/>
    </row>
    <row r="30" spans="1:14" ht="60.75" customHeight="1" x14ac:dyDescent="0.25">
      <c r="A30" s="870" t="s">
        <v>47</v>
      </c>
      <c r="B30" s="1068" t="s">
        <v>151</v>
      </c>
      <c r="C30" s="1068"/>
      <c r="D30" s="1068"/>
      <c r="K30" s="163"/>
      <c r="L30" s="163"/>
      <c r="M30" s="163"/>
      <c r="N30" s="30"/>
    </row>
    <row r="31" spans="1:14" ht="52.5" customHeight="1" x14ac:dyDescent="0.25">
      <c r="A31" s="870"/>
      <c r="B31" s="10" t="s">
        <v>303</v>
      </c>
      <c r="C31" s="10" t="s">
        <v>146</v>
      </c>
      <c r="D31" s="10" t="s">
        <v>44</v>
      </c>
      <c r="K31" s="163"/>
      <c r="L31" s="163"/>
      <c r="M31" s="163"/>
      <c r="N31" s="30"/>
    </row>
    <row r="32" spans="1:14" x14ac:dyDescent="0.25">
      <c r="A32" s="150">
        <v>1</v>
      </c>
      <c r="B32" s="137">
        <v>2</v>
      </c>
      <c r="C32" s="137">
        <v>3</v>
      </c>
      <c r="D32" s="137">
        <v>4</v>
      </c>
      <c r="K32" s="163"/>
      <c r="L32" s="163"/>
      <c r="M32" s="163"/>
      <c r="N32" s="30"/>
    </row>
    <row r="33" spans="1:14" x14ac:dyDescent="0.25">
      <c r="A33" s="141" t="s">
        <v>149</v>
      </c>
      <c r="B33" s="142">
        <v>10</v>
      </c>
      <c r="C33" s="142">
        <f>D33/B33</f>
        <v>750</v>
      </c>
      <c r="D33" s="54">
        <v>7500</v>
      </c>
      <c r="K33" s="277">
        <v>15</v>
      </c>
      <c r="L33" s="276" t="s">
        <v>167</v>
      </c>
      <c r="M33" s="163">
        <f>K33/B33</f>
        <v>1.5</v>
      </c>
      <c r="N33" s="30"/>
    </row>
    <row r="34" spans="1:14" ht="25.5" x14ac:dyDescent="0.25">
      <c r="A34" s="141" t="s">
        <v>169</v>
      </c>
      <c r="B34" s="142">
        <v>10</v>
      </c>
      <c r="C34" s="142">
        <f t="shared" ref="C34:C40" si="4">D34/B34</f>
        <v>30</v>
      </c>
      <c r="D34" s="54">
        <v>300</v>
      </c>
      <c r="K34" s="277">
        <v>300</v>
      </c>
      <c r="L34" s="276" t="s">
        <v>168</v>
      </c>
      <c r="M34" s="163">
        <f t="shared" ref="M34:M40" si="5">K34/B34</f>
        <v>30</v>
      </c>
      <c r="N34" s="30"/>
    </row>
    <row r="35" spans="1:14" x14ac:dyDescent="0.25">
      <c r="A35" s="141" t="s">
        <v>170</v>
      </c>
      <c r="B35" s="142">
        <v>10</v>
      </c>
      <c r="C35" s="142">
        <f t="shared" si="4"/>
        <v>30</v>
      </c>
      <c r="D35" s="54">
        <v>300</v>
      </c>
      <c r="K35" s="277">
        <v>15</v>
      </c>
      <c r="L35" s="276" t="s">
        <v>168</v>
      </c>
      <c r="M35" s="163">
        <f t="shared" si="5"/>
        <v>1.5</v>
      </c>
      <c r="N35" s="30"/>
    </row>
    <row r="36" spans="1:14" x14ac:dyDescent="0.25">
      <c r="A36" s="141" t="s">
        <v>174</v>
      </c>
      <c r="B36" s="142">
        <v>10</v>
      </c>
      <c r="C36" s="142">
        <f t="shared" si="4"/>
        <v>17</v>
      </c>
      <c r="D36" s="54">
        <v>170</v>
      </c>
      <c r="K36" s="277">
        <v>10</v>
      </c>
      <c r="L36" s="276" t="s">
        <v>168</v>
      </c>
      <c r="M36" s="163">
        <f t="shared" si="5"/>
        <v>1</v>
      </c>
      <c r="N36" s="30"/>
    </row>
    <row r="37" spans="1:14" x14ac:dyDescent="0.25">
      <c r="A37" s="141" t="s">
        <v>171</v>
      </c>
      <c r="B37" s="142">
        <v>10</v>
      </c>
      <c r="C37" s="142">
        <f t="shared" si="4"/>
        <v>17</v>
      </c>
      <c r="D37" s="54">
        <v>170</v>
      </c>
      <c r="K37" s="277">
        <v>17</v>
      </c>
      <c r="L37" s="276" t="s">
        <v>168</v>
      </c>
      <c r="M37" s="163">
        <f t="shared" si="5"/>
        <v>1.7</v>
      </c>
      <c r="N37" s="30"/>
    </row>
    <row r="38" spans="1:14" x14ac:dyDescent="0.25">
      <c r="A38" s="141" t="s">
        <v>172</v>
      </c>
      <c r="B38" s="142">
        <v>10</v>
      </c>
      <c r="C38" s="142">
        <f t="shared" si="4"/>
        <v>20</v>
      </c>
      <c r="D38" s="54">
        <v>200</v>
      </c>
      <c r="K38" s="277">
        <v>5</v>
      </c>
      <c r="L38" s="276" t="s">
        <v>168</v>
      </c>
      <c r="M38" s="163">
        <f t="shared" si="5"/>
        <v>0.5</v>
      </c>
      <c r="N38" s="30"/>
    </row>
    <row r="39" spans="1:14" ht="25.5" x14ac:dyDescent="0.25">
      <c r="A39" s="141" t="s">
        <v>173</v>
      </c>
      <c r="B39" s="142">
        <v>10</v>
      </c>
      <c r="C39" s="142">
        <f t="shared" si="4"/>
        <v>25</v>
      </c>
      <c r="D39" s="54">
        <v>250</v>
      </c>
      <c r="K39" s="277">
        <v>5</v>
      </c>
      <c r="L39" s="276" t="s">
        <v>168</v>
      </c>
      <c r="M39" s="163">
        <f t="shared" si="5"/>
        <v>0.5</v>
      </c>
      <c r="N39" s="30"/>
    </row>
    <row r="40" spans="1:14" ht="25.5" x14ac:dyDescent="0.25">
      <c r="A40" s="141" t="s">
        <v>166</v>
      </c>
      <c r="B40" s="142">
        <v>10</v>
      </c>
      <c r="C40" s="142">
        <f t="shared" si="4"/>
        <v>2550</v>
      </c>
      <c r="D40" s="54">
        <f>25500</f>
        <v>25500</v>
      </c>
      <c r="K40" s="277">
        <v>5</v>
      </c>
      <c r="L40" s="276" t="s">
        <v>168</v>
      </c>
      <c r="M40" s="163">
        <f t="shared" si="5"/>
        <v>0.5</v>
      </c>
      <c r="N40" s="30"/>
    </row>
    <row r="41" spans="1:14" x14ac:dyDescent="0.25">
      <c r="A41" s="171" t="s">
        <v>63</v>
      </c>
      <c r="B41" s="172"/>
      <c r="C41" s="145">
        <f>C33+C34+C35+C36+C37+C38+C39+C40</f>
        <v>3439</v>
      </c>
      <c r="D41" s="145">
        <f>D33+D34+D35+D36+D37+D38+D39+D40</f>
        <v>34390</v>
      </c>
      <c r="K41" s="163"/>
      <c r="L41" s="163"/>
      <c r="M41" s="163"/>
      <c r="N41" s="30"/>
    </row>
    <row r="42" spans="1:14" x14ac:dyDescent="0.25">
      <c r="K42" s="164"/>
      <c r="L42" s="164"/>
      <c r="M42" s="164"/>
      <c r="N42" s="30"/>
    </row>
  </sheetData>
  <mergeCells count="13">
    <mergeCell ref="K2:K3"/>
    <mergeCell ref="L2:L3"/>
    <mergeCell ref="M2:M3"/>
    <mergeCell ref="E5:E12"/>
    <mergeCell ref="A16:A17"/>
    <mergeCell ref="B16:D16"/>
    <mergeCell ref="A30:A31"/>
    <mergeCell ref="B30:D30"/>
    <mergeCell ref="A1:H1"/>
    <mergeCell ref="A2:A3"/>
    <mergeCell ref="B2:D2"/>
    <mergeCell ref="E2:E3"/>
    <mergeCell ref="F2:H2"/>
  </mergeCells>
  <pageMargins left="0.25" right="0.25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58"/>
  <sheetViews>
    <sheetView zoomScale="85" zoomScaleNormal="85" workbookViewId="0">
      <pane xSplit="1" ySplit="2" topLeftCell="B33" activePane="bottomRight" state="frozen"/>
      <selection activeCell="E5" sqref="E5"/>
      <selection pane="topRight" activeCell="E5" sqref="E5"/>
      <selection pane="bottomLeft" activeCell="E5" sqref="E5"/>
      <selection pane="bottomRight" activeCell="W58" sqref="W58"/>
    </sheetView>
  </sheetViews>
  <sheetFormatPr defaultRowHeight="15" x14ac:dyDescent="0.25"/>
  <cols>
    <col min="1" max="1" width="35.28515625" customWidth="1"/>
    <col min="2" max="2" width="7.28515625" style="51" customWidth="1"/>
    <col min="3" max="3" width="11.28515625" style="51" customWidth="1"/>
    <col min="4" max="4" width="10.85546875" style="51" customWidth="1"/>
    <col min="5" max="5" width="9.85546875" style="51" customWidth="1"/>
    <col min="6" max="6" width="16.7109375" style="51" customWidth="1"/>
    <col min="7" max="7" width="6.85546875" style="51" hidden="1" customWidth="1"/>
    <col min="8" max="8" width="11.5703125" style="51" hidden="1" customWidth="1"/>
    <col min="9" max="9" width="7.85546875" style="51" hidden="1" customWidth="1"/>
    <col min="10" max="10" width="9.28515625" style="51" hidden="1" customWidth="1"/>
    <col min="11" max="11" width="13" style="51" hidden="1" customWidth="1"/>
    <col min="12" max="13" width="12.7109375" style="51" hidden="1" customWidth="1"/>
    <col min="14" max="14" width="7.85546875" style="51" customWidth="1"/>
    <col min="15" max="15" width="12.7109375" style="51" bestFit="1" customWidth="1"/>
    <col min="16" max="16" width="13.28515625" style="51" customWidth="1"/>
    <col min="17" max="17" width="9.85546875" style="51" bestFit="1" customWidth="1"/>
    <col min="18" max="18" width="15.42578125" style="51" customWidth="1"/>
    <col min="19" max="19" width="9.140625" style="51"/>
    <col min="20" max="20" width="12.85546875" style="51" customWidth="1"/>
    <col min="21" max="21" width="11.7109375" style="51" customWidth="1"/>
    <col min="22" max="22" width="12.140625" style="51" customWidth="1"/>
    <col min="23" max="23" width="14.7109375" style="51" customWidth="1"/>
    <col min="24" max="24" width="13.42578125" style="51" bestFit="1" customWidth="1"/>
    <col min="25" max="25" width="9.140625" style="51"/>
    <col min="26" max="26" width="12.7109375" bestFit="1" customWidth="1"/>
    <col min="27" max="27" width="12.85546875" customWidth="1"/>
  </cols>
  <sheetData>
    <row r="1" spans="1:24" ht="81" customHeight="1" thickBot="1" x14ac:dyDescent="0.3">
      <c r="A1" s="875" t="s">
        <v>152</v>
      </c>
      <c r="B1" s="875"/>
      <c r="C1" s="875"/>
      <c r="D1" s="875"/>
      <c r="E1" s="875"/>
      <c r="F1" s="875"/>
      <c r="G1" s="875"/>
      <c r="H1" s="875"/>
      <c r="I1" s="875"/>
      <c r="J1" s="875"/>
      <c r="K1" s="875"/>
      <c r="L1" s="875"/>
      <c r="M1" s="875"/>
      <c r="N1" s="875"/>
      <c r="O1" s="875"/>
      <c r="P1" s="875"/>
      <c r="Q1" s="875"/>
      <c r="R1" s="875"/>
      <c r="S1" s="875"/>
      <c r="T1" s="875"/>
      <c r="U1" s="875"/>
      <c r="V1" s="875"/>
      <c r="W1" s="875"/>
    </row>
    <row r="2" spans="1:24" ht="67.5" customHeight="1" thickBot="1" x14ac:dyDescent="0.3">
      <c r="A2" s="180"/>
      <c r="B2" s="300" t="s">
        <v>64</v>
      </c>
      <c r="C2" s="1080" t="s">
        <v>148</v>
      </c>
      <c r="D2" s="1081"/>
      <c r="E2" s="1081"/>
      <c r="F2" s="1082"/>
      <c r="G2" s="301" t="s">
        <v>64</v>
      </c>
      <c r="H2" s="1086" t="s">
        <v>39</v>
      </c>
      <c r="I2" s="1081"/>
      <c r="J2" s="1081"/>
      <c r="K2" s="1087"/>
      <c r="L2" s="302"/>
      <c r="M2" s="303" t="s">
        <v>65</v>
      </c>
      <c r="N2" s="300" t="s">
        <v>64</v>
      </c>
      <c r="O2" s="1080" t="s">
        <v>150</v>
      </c>
      <c r="P2" s="1081"/>
      <c r="Q2" s="1081"/>
      <c r="R2" s="1082"/>
      <c r="S2" s="304" t="s">
        <v>155</v>
      </c>
      <c r="T2" s="1080" t="s">
        <v>151</v>
      </c>
      <c r="U2" s="1081"/>
      <c r="V2" s="1081"/>
      <c r="W2" s="1082"/>
      <c r="X2" s="69" t="s">
        <v>44</v>
      </c>
    </row>
    <row r="3" spans="1:24" ht="12" customHeight="1" thickBot="1" x14ac:dyDescent="0.3">
      <c r="A3" s="194">
        <v>1</v>
      </c>
      <c r="B3" s="305">
        <v>2</v>
      </c>
      <c r="C3" s="305">
        <v>3</v>
      </c>
      <c r="D3" s="305">
        <v>4</v>
      </c>
      <c r="E3" s="305">
        <v>5</v>
      </c>
      <c r="F3" s="305">
        <v>6</v>
      </c>
      <c r="G3" s="305">
        <v>7</v>
      </c>
      <c r="H3" s="305">
        <v>8</v>
      </c>
      <c r="I3" s="305">
        <v>9</v>
      </c>
      <c r="J3" s="305">
        <v>10</v>
      </c>
      <c r="K3" s="305">
        <v>11</v>
      </c>
      <c r="L3" s="306">
        <v>12</v>
      </c>
      <c r="M3" s="50"/>
      <c r="N3" s="305">
        <v>7</v>
      </c>
      <c r="O3" s="305">
        <v>8</v>
      </c>
      <c r="P3" s="305">
        <v>9</v>
      </c>
      <c r="Q3" s="305">
        <v>10</v>
      </c>
      <c r="R3" s="305">
        <v>11</v>
      </c>
      <c r="S3" s="305">
        <v>12</v>
      </c>
      <c r="T3" s="305">
        <v>13</v>
      </c>
      <c r="U3" s="305">
        <v>14</v>
      </c>
      <c r="V3" s="305">
        <v>15</v>
      </c>
      <c r="W3" s="305">
        <v>16</v>
      </c>
      <c r="X3" s="69"/>
    </row>
    <row r="4" spans="1:24" ht="75.75" customHeight="1" thickBot="1" x14ac:dyDescent="0.3">
      <c r="A4" s="178"/>
      <c r="B4" s="300" t="s">
        <v>143</v>
      </c>
      <c r="C4" s="301" t="s">
        <v>182</v>
      </c>
      <c r="D4" s="307" t="s">
        <v>65</v>
      </c>
      <c r="E4" s="307" t="s">
        <v>181</v>
      </c>
      <c r="F4" s="307" t="s">
        <v>44</v>
      </c>
      <c r="G4" s="308"/>
      <c r="H4" s="308" t="s">
        <v>66</v>
      </c>
      <c r="I4" s="308" t="s">
        <v>67</v>
      </c>
      <c r="J4" s="309" t="s">
        <v>68</v>
      </c>
      <c r="K4" s="309" t="s">
        <v>69</v>
      </c>
      <c r="L4" s="310" t="s">
        <v>70</v>
      </c>
      <c r="M4" s="229"/>
      <c r="N4" s="300" t="s">
        <v>144</v>
      </c>
      <c r="O4" s="301" t="s">
        <v>182</v>
      </c>
      <c r="P4" s="307" t="s">
        <v>65</v>
      </c>
      <c r="Q4" s="307" t="s">
        <v>181</v>
      </c>
      <c r="R4" s="307" t="s">
        <v>44</v>
      </c>
      <c r="S4" s="311" t="s">
        <v>145</v>
      </c>
      <c r="T4" s="301" t="s">
        <v>182</v>
      </c>
      <c r="U4" s="307" t="s">
        <v>65</v>
      </c>
      <c r="V4" s="307" t="s">
        <v>181</v>
      </c>
      <c r="W4" s="307" t="s">
        <v>44</v>
      </c>
      <c r="X4" s="69"/>
    </row>
    <row r="5" spans="1:24" s="51" customFormat="1" x14ac:dyDescent="0.25">
      <c r="A5" s="45" t="s">
        <v>71</v>
      </c>
      <c r="B5" s="852">
        <v>42</v>
      </c>
      <c r="C5" s="46"/>
      <c r="D5" s="47"/>
      <c r="E5" s="47"/>
      <c r="F5" s="48">
        <f>F6+F7+F8</f>
        <v>296502</v>
      </c>
      <c r="G5" s="866"/>
      <c r="H5" s="46"/>
      <c r="I5" s="47"/>
      <c r="J5" s="47"/>
      <c r="K5" s="47">
        <f>K6+K7+K8</f>
        <v>0</v>
      </c>
      <c r="L5" s="49">
        <f>F5+K5</f>
        <v>296502</v>
      </c>
      <c r="M5" s="197"/>
      <c r="N5" s="852">
        <v>742</v>
      </c>
      <c r="O5" s="46"/>
      <c r="P5" s="47"/>
      <c r="Q5" s="47"/>
      <c r="R5" s="183">
        <f>R6+R7+R8</f>
        <v>296502</v>
      </c>
      <c r="S5" s="1088">
        <v>10</v>
      </c>
      <c r="T5" s="68"/>
      <c r="U5" s="47"/>
      <c r="V5" s="47"/>
      <c r="W5" s="48">
        <f>W6+W7+W8</f>
        <v>296496</v>
      </c>
      <c r="X5" s="69"/>
    </row>
    <row r="6" spans="1:24" s="51" customFormat="1" x14ac:dyDescent="0.25">
      <c r="A6" s="52" t="s">
        <v>72</v>
      </c>
      <c r="B6" s="853"/>
      <c r="C6" s="53">
        <f>24.7/B5</f>
        <v>0.58809523809523812</v>
      </c>
      <c r="D6" s="54" t="s">
        <v>73</v>
      </c>
      <c r="E6" s="54">
        <f>F6/B5</f>
        <v>4206.3571428571431</v>
      </c>
      <c r="F6" s="55">
        <v>176667</v>
      </c>
      <c r="G6" s="867"/>
      <c r="H6" s="53">
        <v>0.04</v>
      </c>
      <c r="I6" s="54" t="s">
        <v>73</v>
      </c>
      <c r="J6" s="54">
        <v>439.6</v>
      </c>
      <c r="K6" s="54">
        <f>J6*G5</f>
        <v>0</v>
      </c>
      <c r="L6" s="56">
        <f>F6+K6</f>
        <v>176667</v>
      </c>
      <c r="M6" s="198" t="s">
        <v>74</v>
      </c>
      <c r="N6" s="853"/>
      <c r="O6" s="53">
        <f>24.7/N5</f>
        <v>3.3288409703504045E-2</v>
      </c>
      <c r="P6" s="54" t="s">
        <v>73</v>
      </c>
      <c r="Q6" s="54">
        <f>R6/N5</f>
        <v>238.0956873315364</v>
      </c>
      <c r="R6" s="184">
        <v>176667</v>
      </c>
      <c r="S6" s="1089"/>
      <c r="T6" s="70">
        <f>24.7/S5</f>
        <v>2.4699999999999998</v>
      </c>
      <c r="U6" s="54" t="s">
        <v>73</v>
      </c>
      <c r="V6" s="54">
        <f>W6/S5</f>
        <v>17666.599999999999</v>
      </c>
      <c r="W6" s="55">
        <f>X6-F6-R6</f>
        <v>176666</v>
      </c>
      <c r="X6" s="69">
        <v>530000</v>
      </c>
    </row>
    <row r="7" spans="1:24" s="51" customFormat="1" ht="25.5" x14ac:dyDescent="0.25">
      <c r="A7" s="52" t="s">
        <v>75</v>
      </c>
      <c r="B7" s="853"/>
      <c r="C7" s="53">
        <f>13810/B5</f>
        <v>328.8095238095238</v>
      </c>
      <c r="D7" s="54" t="s">
        <v>76</v>
      </c>
      <c r="E7" s="54">
        <f>F7/B5</f>
        <v>2535.7142857142858</v>
      </c>
      <c r="F7" s="55">
        <v>106500</v>
      </c>
      <c r="G7" s="867"/>
      <c r="H7" s="53">
        <v>38.49</v>
      </c>
      <c r="I7" s="54" t="s">
        <v>76</v>
      </c>
      <c r="J7" s="54">
        <v>460.4</v>
      </c>
      <c r="K7" s="54">
        <f>J7*G5</f>
        <v>0</v>
      </c>
      <c r="L7" s="56">
        <f>F7+K7</f>
        <v>106500</v>
      </c>
      <c r="M7" s="198" t="s">
        <v>77</v>
      </c>
      <c r="N7" s="853"/>
      <c r="O7" s="53">
        <f>13810/N5</f>
        <v>18.611859838274931</v>
      </c>
      <c r="P7" s="54" t="s">
        <v>76</v>
      </c>
      <c r="Q7" s="54">
        <f>R7/N5</f>
        <v>143.5309973045822</v>
      </c>
      <c r="R7" s="184">
        <v>106500</v>
      </c>
      <c r="S7" s="1089"/>
      <c r="T7" s="70">
        <f>13810/S5</f>
        <v>1381</v>
      </c>
      <c r="U7" s="54" t="s">
        <v>76</v>
      </c>
      <c r="V7" s="54">
        <f>W7/S5</f>
        <v>10650</v>
      </c>
      <c r="W7" s="55">
        <f>X7-F7-R7</f>
        <v>106500</v>
      </c>
      <c r="X7" s="69">
        <v>319500</v>
      </c>
    </row>
    <row r="8" spans="1:24" s="51" customFormat="1" ht="15.75" thickBot="1" x14ac:dyDescent="0.3">
      <c r="A8" s="58" t="s">
        <v>78</v>
      </c>
      <c r="B8" s="854"/>
      <c r="C8" s="59">
        <f>125/B5</f>
        <v>2.9761904761904763</v>
      </c>
      <c r="D8" s="60" t="s">
        <v>73</v>
      </c>
      <c r="E8" s="60">
        <f>F8/B5</f>
        <v>317.5</v>
      </c>
      <c r="F8" s="61">
        <v>13335</v>
      </c>
      <c r="G8" s="868"/>
      <c r="H8" s="59">
        <v>0.57999999999999996</v>
      </c>
      <c r="I8" s="60" t="s">
        <v>79</v>
      </c>
      <c r="J8" s="60">
        <v>50</v>
      </c>
      <c r="K8" s="60">
        <f>J8*G5</f>
        <v>0</v>
      </c>
      <c r="L8" s="62">
        <f>F8+K8</f>
        <v>13335</v>
      </c>
      <c r="M8" s="199" t="s">
        <v>74</v>
      </c>
      <c r="N8" s="854"/>
      <c r="O8" s="59">
        <f>125/N5</f>
        <v>0.16846361185983827</v>
      </c>
      <c r="P8" s="60" t="s">
        <v>73</v>
      </c>
      <c r="Q8" s="60">
        <f>R8/N5</f>
        <v>17.971698113207548</v>
      </c>
      <c r="R8" s="185">
        <v>13335</v>
      </c>
      <c r="S8" s="1090"/>
      <c r="T8" s="71">
        <f>125/S5</f>
        <v>12.5</v>
      </c>
      <c r="U8" s="60" t="s">
        <v>73</v>
      </c>
      <c r="V8" s="60">
        <f>W8/S5</f>
        <v>1333</v>
      </c>
      <c r="W8" s="61">
        <f>X8-F8-R8</f>
        <v>13330</v>
      </c>
      <c r="X8" s="69">
        <v>40000</v>
      </c>
    </row>
    <row r="9" spans="1:24" s="51" customFormat="1" ht="3" customHeight="1" thickBot="1" x14ac:dyDescent="0.3">
      <c r="A9" s="63"/>
      <c r="B9" s="64"/>
      <c r="C9" s="279"/>
      <c r="D9" s="279"/>
      <c r="E9" s="279"/>
      <c r="F9" s="279"/>
      <c r="G9" s="66"/>
      <c r="H9" s="279"/>
      <c r="I9" s="279"/>
      <c r="J9" s="279"/>
      <c r="K9" s="279"/>
      <c r="L9" s="67"/>
      <c r="M9" s="50"/>
      <c r="N9" s="64"/>
      <c r="O9" s="279"/>
      <c r="P9" s="279"/>
      <c r="Q9" s="279"/>
      <c r="R9" s="186"/>
      <c r="S9" s="285"/>
      <c r="T9" s="191"/>
      <c r="U9" s="279"/>
      <c r="V9" s="279"/>
      <c r="W9" s="279"/>
      <c r="X9" s="69"/>
    </row>
    <row r="10" spans="1:24" s="51" customFormat="1" ht="38.25" x14ac:dyDescent="0.25">
      <c r="A10" s="173" t="s">
        <v>80</v>
      </c>
      <c r="B10" s="1083">
        <v>42</v>
      </c>
      <c r="C10" s="68"/>
      <c r="D10" s="47"/>
      <c r="E10" s="47"/>
      <c r="F10" s="48">
        <f>F11+F12+F13+F14+F15+F16</f>
        <v>164880</v>
      </c>
      <c r="G10" s="872"/>
      <c r="H10" s="68"/>
      <c r="I10" s="47"/>
      <c r="J10" s="47"/>
      <c r="K10" s="47">
        <f>K11+K12+K13+K14+K15+K16</f>
        <v>0</v>
      </c>
      <c r="L10" s="49">
        <f>L11+L12+L13+L14+L15+L16</f>
        <v>164880</v>
      </c>
      <c r="M10" s="197"/>
      <c r="N10" s="1083">
        <v>742</v>
      </c>
      <c r="O10" s="68"/>
      <c r="P10" s="47"/>
      <c r="Q10" s="47"/>
      <c r="R10" s="183">
        <f>R11+R12+R13+R14+R15+R16</f>
        <v>164880</v>
      </c>
      <c r="S10" s="1088">
        <v>10</v>
      </c>
      <c r="T10" s="68"/>
      <c r="U10" s="47"/>
      <c r="V10" s="47"/>
      <c r="W10" s="48">
        <f>W11+W12+W13+W14+W15+W16</f>
        <v>164879.10999999999</v>
      </c>
      <c r="X10" s="69"/>
    </row>
    <row r="11" spans="1:24" s="51" customFormat="1" ht="76.5" x14ac:dyDescent="0.25">
      <c r="A11" s="287" t="s">
        <v>81</v>
      </c>
      <c r="B11" s="1084"/>
      <c r="C11" s="70">
        <f>1/42</f>
        <v>2.3809523809523808E-2</v>
      </c>
      <c r="D11" s="54" t="s">
        <v>82</v>
      </c>
      <c r="E11" s="54">
        <f>F11/B10</f>
        <v>476.1904761904762</v>
      </c>
      <c r="F11" s="55">
        <f>X11/3</f>
        <v>20000</v>
      </c>
      <c r="G11" s="873"/>
      <c r="H11" s="70">
        <v>4</v>
      </c>
      <c r="I11" s="54" t="s">
        <v>82</v>
      </c>
      <c r="J11" s="54">
        <v>191.2</v>
      </c>
      <c r="K11" s="54">
        <f>J11*G10</f>
        <v>0</v>
      </c>
      <c r="L11" s="56">
        <f t="shared" ref="L11:L16" si="0">F11+K11</f>
        <v>20000</v>
      </c>
      <c r="M11" s="198"/>
      <c r="N11" s="1084"/>
      <c r="O11" s="765">
        <f>1/800</f>
        <v>1.25E-3</v>
      </c>
      <c r="P11" s="54" t="s">
        <v>82</v>
      </c>
      <c r="Q11" s="54">
        <f>R11/N10</f>
        <v>26.954177897574123</v>
      </c>
      <c r="R11" s="184">
        <v>20000</v>
      </c>
      <c r="S11" s="1089"/>
      <c r="T11" s="70">
        <f>1/10</f>
        <v>0.1</v>
      </c>
      <c r="U11" s="54" t="s">
        <v>82</v>
      </c>
      <c r="V11" s="54">
        <f>W11/S10</f>
        <v>2000</v>
      </c>
      <c r="W11" s="55">
        <v>20000</v>
      </c>
      <c r="X11" s="69">
        <v>60000</v>
      </c>
    </row>
    <row r="12" spans="1:24" s="51" customFormat="1" ht="30.75" customHeight="1" x14ac:dyDescent="0.25">
      <c r="A12" s="287" t="s">
        <v>83</v>
      </c>
      <c r="B12" s="1084"/>
      <c r="C12" s="70">
        <f>1/42</f>
        <v>2.3809523809523808E-2</v>
      </c>
      <c r="D12" s="54" t="s">
        <v>82</v>
      </c>
      <c r="E12" s="54">
        <f>F12/B10</f>
        <v>515.88095238095241</v>
      </c>
      <c r="F12" s="55">
        <v>21667</v>
      </c>
      <c r="G12" s="873"/>
      <c r="H12" s="70">
        <v>1</v>
      </c>
      <c r="I12" s="54" t="s">
        <v>82</v>
      </c>
      <c r="J12" s="54">
        <v>126.4</v>
      </c>
      <c r="K12" s="54">
        <f>J12*G10</f>
        <v>0</v>
      </c>
      <c r="L12" s="56">
        <f t="shared" si="0"/>
        <v>21667</v>
      </c>
      <c r="M12" s="198"/>
      <c r="N12" s="1084"/>
      <c r="O12" s="765">
        <f>1/800</f>
        <v>1.25E-3</v>
      </c>
      <c r="P12" s="54" t="s">
        <v>82</v>
      </c>
      <c r="Q12" s="54">
        <f>R12/N10</f>
        <v>29.200808625336926</v>
      </c>
      <c r="R12" s="184">
        <v>21667</v>
      </c>
      <c r="S12" s="1089"/>
      <c r="T12" s="70">
        <f>1/10</f>
        <v>0.1</v>
      </c>
      <c r="U12" s="54" t="s">
        <v>82</v>
      </c>
      <c r="V12" s="54">
        <f>W12/S10</f>
        <v>2166.6</v>
      </c>
      <c r="W12" s="55">
        <f>X12-F12-R12</f>
        <v>21666</v>
      </c>
      <c r="X12" s="69">
        <f>40000+25000</f>
        <v>65000</v>
      </c>
    </row>
    <row r="13" spans="1:24" s="51" customFormat="1" ht="24" customHeight="1" x14ac:dyDescent="0.25">
      <c r="A13" s="287" t="s">
        <v>84</v>
      </c>
      <c r="B13" s="1084"/>
      <c r="C13" s="70">
        <f>1/42</f>
        <v>2.3809523809523808E-2</v>
      </c>
      <c r="D13" s="54" t="s">
        <v>82</v>
      </c>
      <c r="E13" s="54">
        <f>F13/B10</f>
        <v>357.14285714285717</v>
      </c>
      <c r="F13" s="55">
        <v>15000</v>
      </c>
      <c r="G13" s="873"/>
      <c r="H13" s="70">
        <v>1</v>
      </c>
      <c r="I13" s="54" t="s">
        <v>82</v>
      </c>
      <c r="J13" s="54">
        <v>34.799999999999997</v>
      </c>
      <c r="K13" s="54">
        <f>J13*G10</f>
        <v>0</v>
      </c>
      <c r="L13" s="56">
        <f t="shared" si="0"/>
        <v>15000</v>
      </c>
      <c r="M13" s="198"/>
      <c r="N13" s="1084"/>
      <c r="O13" s="765">
        <f>1/800</f>
        <v>1.25E-3</v>
      </c>
      <c r="P13" s="54" t="s">
        <v>82</v>
      </c>
      <c r="Q13" s="54">
        <f>R13/N10</f>
        <v>20.215633423180591</v>
      </c>
      <c r="R13" s="184">
        <v>15000</v>
      </c>
      <c r="S13" s="1089"/>
      <c r="T13" s="70">
        <f>1/10</f>
        <v>0.1</v>
      </c>
      <c r="U13" s="54" t="s">
        <v>82</v>
      </c>
      <c r="V13" s="54">
        <f>W13/S10</f>
        <v>1500</v>
      </c>
      <c r="W13" s="55">
        <v>15000</v>
      </c>
      <c r="X13" s="69">
        <v>45000</v>
      </c>
    </row>
    <row r="14" spans="1:24" s="51" customFormat="1" ht="15" hidden="1" customHeight="1" x14ac:dyDescent="0.25">
      <c r="A14" s="287"/>
      <c r="B14" s="1084"/>
      <c r="C14" s="70"/>
      <c r="D14" s="54"/>
      <c r="E14" s="54"/>
      <c r="F14" s="55">
        <f>E14*B10</f>
        <v>0</v>
      </c>
      <c r="G14" s="873"/>
      <c r="H14" s="70">
        <v>0</v>
      </c>
      <c r="I14" s="54"/>
      <c r="J14" s="54">
        <v>0</v>
      </c>
      <c r="K14" s="54">
        <f>J14*G10</f>
        <v>0</v>
      </c>
      <c r="L14" s="56">
        <f t="shared" si="0"/>
        <v>0</v>
      </c>
      <c r="M14" s="198"/>
      <c r="N14" s="1084"/>
      <c r="O14" s="765"/>
      <c r="P14" s="54"/>
      <c r="Q14" s="54"/>
      <c r="R14" s="184">
        <f>Q14*M10</f>
        <v>0</v>
      </c>
      <c r="S14" s="1089"/>
      <c r="T14" s="70"/>
      <c r="U14" s="54"/>
      <c r="V14" s="54"/>
      <c r="W14" s="55">
        <f>V14*R10</f>
        <v>0</v>
      </c>
      <c r="X14" s="69"/>
    </row>
    <row r="15" spans="1:24" s="51" customFormat="1" ht="25.5" x14ac:dyDescent="0.25">
      <c r="A15" s="287" t="s">
        <v>85</v>
      </c>
      <c r="B15" s="1084"/>
      <c r="C15" s="70">
        <f>1/42</f>
        <v>2.3809523809523808E-2</v>
      </c>
      <c r="D15" s="54" t="s">
        <v>82</v>
      </c>
      <c r="E15" s="54">
        <f>F15/B10</f>
        <v>179.28571428571428</v>
      </c>
      <c r="F15" s="55">
        <v>7530</v>
      </c>
      <c r="G15" s="873"/>
      <c r="H15" s="70">
        <v>1</v>
      </c>
      <c r="I15" s="54" t="s">
        <v>82</v>
      </c>
      <c r="J15" s="54">
        <v>48</v>
      </c>
      <c r="K15" s="54">
        <f>J15*G10</f>
        <v>0</v>
      </c>
      <c r="L15" s="56">
        <f t="shared" si="0"/>
        <v>7530</v>
      </c>
      <c r="M15" s="198"/>
      <c r="N15" s="1084"/>
      <c r="O15" s="765">
        <f>1/800</f>
        <v>1.25E-3</v>
      </c>
      <c r="P15" s="54" t="s">
        <v>82</v>
      </c>
      <c r="Q15" s="54">
        <f>R15/N10</f>
        <v>10.148247978436657</v>
      </c>
      <c r="R15" s="184">
        <v>7530</v>
      </c>
      <c r="S15" s="1089"/>
      <c r="T15" s="70">
        <f>1/10</f>
        <v>0.1</v>
      </c>
      <c r="U15" s="54" t="s">
        <v>82</v>
      </c>
      <c r="V15" s="54">
        <f>W15/S10</f>
        <v>752.6</v>
      </c>
      <c r="W15" s="55">
        <f>X15-R15-F15</f>
        <v>7526</v>
      </c>
      <c r="X15" s="69">
        <v>22586</v>
      </c>
    </row>
    <row r="16" spans="1:24" s="51" customFormat="1" ht="26.25" thickBot="1" x14ac:dyDescent="0.3">
      <c r="A16" s="288" t="s">
        <v>86</v>
      </c>
      <c r="B16" s="1085"/>
      <c r="C16" s="71">
        <f>2/42</f>
        <v>4.7619047619047616E-2</v>
      </c>
      <c r="D16" s="60" t="s">
        <v>82</v>
      </c>
      <c r="E16" s="60">
        <f>F16/B10</f>
        <v>2397.2142857142858</v>
      </c>
      <c r="F16" s="61">
        <v>100683</v>
      </c>
      <c r="G16" s="874"/>
      <c r="H16" s="71">
        <f>K16/40</f>
        <v>0</v>
      </c>
      <c r="I16" s="60" t="s">
        <v>87</v>
      </c>
      <c r="J16" s="60"/>
      <c r="K16" s="60"/>
      <c r="L16" s="62">
        <f t="shared" si="0"/>
        <v>100683</v>
      </c>
      <c r="M16" s="198"/>
      <c r="N16" s="1085"/>
      <c r="O16" s="766">
        <f>2/800</f>
        <v>2.5000000000000001E-3</v>
      </c>
      <c r="P16" s="60" t="s">
        <v>82</v>
      </c>
      <c r="Q16" s="60">
        <f>R16/N10</f>
        <v>135.69137466307276</v>
      </c>
      <c r="R16" s="185">
        <v>100683</v>
      </c>
      <c r="S16" s="1089"/>
      <c r="T16" s="71">
        <f>2/10</f>
        <v>0.2</v>
      </c>
      <c r="U16" s="60" t="s">
        <v>82</v>
      </c>
      <c r="V16" s="60">
        <f>W16/S10</f>
        <v>10068.710999999999</v>
      </c>
      <c r="W16" s="61">
        <f>X16-F16-R16</f>
        <v>100687.10999999999</v>
      </c>
      <c r="X16" s="69">
        <f>177750+124303.11</f>
        <v>302053.11</v>
      </c>
    </row>
    <row r="17" spans="1:26" s="51" customFormat="1" ht="2.25" customHeight="1" thickBot="1" x14ac:dyDescent="0.3">
      <c r="A17" s="200"/>
      <c r="B17" s="64">
        <v>42</v>
      </c>
      <c r="C17" s="279"/>
      <c r="D17" s="279"/>
      <c r="E17" s="279"/>
      <c r="F17" s="279"/>
      <c r="G17" s="66"/>
      <c r="H17" s="279"/>
      <c r="I17" s="279"/>
      <c r="J17" s="279"/>
      <c r="K17" s="279"/>
      <c r="L17" s="283"/>
      <c r="M17" s="198"/>
      <c r="N17" s="64"/>
      <c r="O17" s="279"/>
      <c r="P17" s="279"/>
      <c r="Q17" s="279"/>
      <c r="R17" s="186"/>
      <c r="S17" s="266"/>
      <c r="T17" s="191"/>
      <c r="U17" s="279"/>
      <c r="V17" s="279"/>
      <c r="W17" s="201"/>
      <c r="X17" s="69"/>
    </row>
    <row r="18" spans="1:26" s="51" customFormat="1" ht="25.5" x14ac:dyDescent="0.25">
      <c r="A18" s="73" t="s">
        <v>88</v>
      </c>
      <c r="B18" s="852">
        <v>42</v>
      </c>
      <c r="C18" s="74"/>
      <c r="D18" s="75"/>
      <c r="E18" s="75">
        <f>E19+E20</f>
        <v>6549</v>
      </c>
      <c r="F18" s="76">
        <f>F19+F20</f>
        <v>275058</v>
      </c>
      <c r="G18" s="866"/>
      <c r="H18" s="74"/>
      <c r="I18" s="75"/>
      <c r="J18" s="75"/>
      <c r="K18" s="75"/>
      <c r="L18" s="77"/>
      <c r="M18" s="198"/>
      <c r="N18" s="852">
        <v>742</v>
      </c>
      <c r="O18" s="74"/>
      <c r="P18" s="75"/>
      <c r="Q18" s="75">
        <f>Q19+Q20</f>
        <v>370.69811320754718</v>
      </c>
      <c r="R18" s="289">
        <f>R19+R20</f>
        <v>275058</v>
      </c>
      <c r="S18" s="1089">
        <v>10</v>
      </c>
      <c r="T18" s="290"/>
      <c r="U18" s="75"/>
      <c r="V18" s="75">
        <f>V19+V20</f>
        <v>27505.9</v>
      </c>
      <c r="W18" s="76">
        <f>W19+W20</f>
        <v>275059</v>
      </c>
      <c r="X18" s="69"/>
    </row>
    <row r="19" spans="1:26" s="51" customFormat="1" x14ac:dyDescent="0.25">
      <c r="A19" s="52" t="s">
        <v>89</v>
      </c>
      <c r="B19" s="853"/>
      <c r="C19" s="53">
        <f>1340/B18</f>
        <v>31.904761904761905</v>
      </c>
      <c r="D19" s="54" t="s">
        <v>159</v>
      </c>
      <c r="E19" s="54">
        <f>F19/B18</f>
        <v>1587.3095238095239</v>
      </c>
      <c r="F19" s="55">
        <v>66667</v>
      </c>
      <c r="G19" s="867"/>
      <c r="H19" s="53"/>
      <c r="I19" s="54"/>
      <c r="J19" s="54"/>
      <c r="K19" s="54"/>
      <c r="L19" s="56"/>
      <c r="M19" s="198"/>
      <c r="N19" s="853"/>
      <c r="O19" s="53">
        <f>1340/N18</f>
        <v>1.8059299191374663</v>
      </c>
      <c r="P19" s="54" t="s">
        <v>159</v>
      </c>
      <c r="Q19" s="54">
        <f>R19/N18</f>
        <v>89.847708894878707</v>
      </c>
      <c r="R19" s="184">
        <v>66667</v>
      </c>
      <c r="S19" s="1089"/>
      <c r="T19" s="70">
        <f>1340/S18</f>
        <v>134</v>
      </c>
      <c r="U19" s="54" t="s">
        <v>159</v>
      </c>
      <c r="V19" s="54">
        <f>W19/S18</f>
        <v>6666.6</v>
      </c>
      <c r="W19" s="55">
        <f>X19-F19-R19</f>
        <v>66666</v>
      </c>
      <c r="X19" s="69">
        <v>200000</v>
      </c>
    </row>
    <row r="20" spans="1:26" s="51" customFormat="1" ht="26.25" thickBot="1" x14ac:dyDescent="0.3">
      <c r="A20" s="58" t="s">
        <v>90</v>
      </c>
      <c r="B20" s="854"/>
      <c r="C20" s="59">
        <f>1/42</f>
        <v>2.3809523809523808E-2</v>
      </c>
      <c r="D20" s="60" t="s">
        <v>82</v>
      </c>
      <c r="E20" s="60">
        <f>F20/B18</f>
        <v>4961.6904761904761</v>
      </c>
      <c r="F20" s="61">
        <v>208391</v>
      </c>
      <c r="G20" s="868"/>
      <c r="H20" s="59"/>
      <c r="I20" s="60"/>
      <c r="J20" s="60"/>
      <c r="K20" s="60"/>
      <c r="L20" s="62"/>
      <c r="M20" s="198"/>
      <c r="N20" s="854"/>
      <c r="O20" s="768">
        <f>1/N18</f>
        <v>1.3477088948787063E-3</v>
      </c>
      <c r="P20" s="60" t="s">
        <v>82</v>
      </c>
      <c r="Q20" s="60">
        <f>R20/N18</f>
        <v>280.85040431266845</v>
      </c>
      <c r="R20" s="185">
        <v>208391</v>
      </c>
      <c r="S20" s="1089"/>
      <c r="T20" s="71">
        <f>1/10</f>
        <v>0.1</v>
      </c>
      <c r="U20" s="60" t="s">
        <v>82</v>
      </c>
      <c r="V20" s="60">
        <f>W20/S18</f>
        <v>20839.3</v>
      </c>
      <c r="W20" s="61">
        <f>X20-F20-R20</f>
        <v>208393</v>
      </c>
      <c r="X20" s="69">
        <f>625175</f>
        <v>625175</v>
      </c>
    </row>
    <row r="21" spans="1:26" s="51" customFormat="1" ht="2.25" customHeight="1" thickBot="1" x14ac:dyDescent="0.3">
      <c r="A21" s="78"/>
      <c r="B21" s="79"/>
      <c r="C21" s="279"/>
      <c r="D21" s="279"/>
      <c r="E21" s="279"/>
      <c r="F21" s="279"/>
      <c r="G21" s="66"/>
      <c r="H21" s="279"/>
      <c r="I21" s="279"/>
      <c r="J21" s="279"/>
      <c r="K21" s="279"/>
      <c r="L21" s="283"/>
      <c r="M21" s="198"/>
      <c r="N21" s="79"/>
      <c r="O21" s="279"/>
      <c r="P21" s="279"/>
      <c r="Q21" s="279"/>
      <c r="R21" s="186"/>
      <c r="S21" s="266"/>
      <c r="T21" s="191"/>
      <c r="U21" s="279"/>
      <c r="V21" s="279"/>
      <c r="W21" s="201"/>
      <c r="X21" s="69"/>
    </row>
    <row r="22" spans="1:26" s="51" customFormat="1" ht="15" customHeight="1" x14ac:dyDescent="0.25">
      <c r="A22" s="80" t="s">
        <v>91</v>
      </c>
      <c r="B22" s="852">
        <v>42</v>
      </c>
      <c r="C22" s="81"/>
      <c r="D22" s="82"/>
      <c r="E22" s="82"/>
      <c r="F22" s="83">
        <f>F23+F24</f>
        <v>23334</v>
      </c>
      <c r="G22" s="866"/>
      <c r="H22" s="81"/>
      <c r="I22" s="82"/>
      <c r="J22" s="82"/>
      <c r="K22" s="82">
        <f>K23+K24</f>
        <v>0</v>
      </c>
      <c r="L22" s="84">
        <f>L23+L24</f>
        <v>23334</v>
      </c>
      <c r="M22" s="198"/>
      <c r="N22" s="852">
        <v>742</v>
      </c>
      <c r="O22" s="81"/>
      <c r="P22" s="82"/>
      <c r="Q22" s="82"/>
      <c r="R22" s="291">
        <f>R23+R24</f>
        <v>23334</v>
      </c>
      <c r="S22" s="1089">
        <v>10</v>
      </c>
      <c r="T22" s="292"/>
      <c r="U22" s="82"/>
      <c r="V22" s="82"/>
      <c r="W22" s="83">
        <f>W23+W24</f>
        <v>23332</v>
      </c>
      <c r="X22" s="69"/>
    </row>
    <row r="23" spans="1:26" s="51" customFormat="1" ht="27" customHeight="1" x14ac:dyDescent="0.25">
      <c r="A23" s="85" t="s">
        <v>92</v>
      </c>
      <c r="B23" s="853"/>
      <c r="C23" s="53">
        <f>334/B22</f>
        <v>7.9523809523809526</v>
      </c>
      <c r="D23" s="54" t="s">
        <v>94</v>
      </c>
      <c r="E23" s="54">
        <f>F23/B22</f>
        <v>396.83333333333331</v>
      </c>
      <c r="F23" s="86">
        <v>16667</v>
      </c>
      <c r="G23" s="867"/>
      <c r="H23" s="53" t="s">
        <v>93</v>
      </c>
      <c r="I23" s="54" t="s">
        <v>94</v>
      </c>
      <c r="J23" s="54">
        <v>320</v>
      </c>
      <c r="K23" s="87">
        <f>J23*G22</f>
        <v>0</v>
      </c>
      <c r="L23" s="56">
        <f>F23+K23</f>
        <v>16667</v>
      </c>
      <c r="M23" s="198"/>
      <c r="N23" s="853"/>
      <c r="O23" s="53">
        <f>334/N22</f>
        <v>0.45013477088948789</v>
      </c>
      <c r="P23" s="54" t="s">
        <v>94</v>
      </c>
      <c r="Q23" s="54">
        <f>R23/N22</f>
        <v>22.462264150943398</v>
      </c>
      <c r="R23" s="293">
        <v>16667</v>
      </c>
      <c r="S23" s="1089"/>
      <c r="T23" s="70">
        <f>334/S22</f>
        <v>33.4</v>
      </c>
      <c r="U23" s="54" t="s">
        <v>94</v>
      </c>
      <c r="V23" s="54">
        <f>W23/S22</f>
        <v>1666.6</v>
      </c>
      <c r="W23" s="86">
        <v>16666</v>
      </c>
      <c r="X23" s="69">
        <v>50000</v>
      </c>
    </row>
    <row r="24" spans="1:26" s="51" customFormat="1" ht="24.75" customHeight="1" thickBot="1" x14ac:dyDescent="0.3">
      <c r="A24" s="88" t="s">
        <v>95</v>
      </c>
      <c r="B24" s="854"/>
      <c r="C24" s="59">
        <f>660/B22</f>
        <v>15.714285714285714</v>
      </c>
      <c r="D24" s="60" t="s">
        <v>96</v>
      </c>
      <c r="E24" s="60">
        <f>F24/B22</f>
        <v>158.73809523809524</v>
      </c>
      <c r="F24" s="89">
        <v>6667</v>
      </c>
      <c r="G24" s="868"/>
      <c r="H24" s="59" t="s">
        <v>93</v>
      </c>
      <c r="I24" s="60" t="s">
        <v>96</v>
      </c>
      <c r="J24" s="60">
        <v>80</v>
      </c>
      <c r="K24" s="90">
        <f>J24*G22</f>
        <v>0</v>
      </c>
      <c r="L24" s="62">
        <f>F24+K24</f>
        <v>6667</v>
      </c>
      <c r="M24" s="198"/>
      <c r="N24" s="854"/>
      <c r="O24" s="59">
        <f>660/N22</f>
        <v>0.88948787061994605</v>
      </c>
      <c r="P24" s="60" t="s">
        <v>96</v>
      </c>
      <c r="Q24" s="60">
        <f>R24/N22</f>
        <v>8.9851752021563343</v>
      </c>
      <c r="R24" s="294">
        <v>6667</v>
      </c>
      <c r="S24" s="1089"/>
      <c r="T24" s="71">
        <f>660/S22</f>
        <v>66</v>
      </c>
      <c r="U24" s="60" t="s">
        <v>96</v>
      </c>
      <c r="V24" s="60">
        <f>W24/S22</f>
        <v>666.6</v>
      </c>
      <c r="W24" s="89">
        <v>6666</v>
      </c>
      <c r="X24" s="69">
        <v>20000</v>
      </c>
    </row>
    <row r="25" spans="1:26" s="51" customFormat="1" ht="2.25" customHeight="1" thickBot="1" x14ac:dyDescent="0.3">
      <c r="A25" s="202"/>
      <c r="B25" s="64"/>
      <c r="C25" s="279"/>
      <c r="D25" s="279"/>
      <c r="E25" s="279"/>
      <c r="F25" s="92"/>
      <c r="G25" s="66"/>
      <c r="H25" s="279"/>
      <c r="I25" s="279"/>
      <c r="J25" s="279"/>
      <c r="K25" s="92"/>
      <c r="L25" s="283"/>
      <c r="M25" s="198"/>
      <c r="N25" s="64"/>
      <c r="O25" s="279"/>
      <c r="P25" s="279"/>
      <c r="Q25" s="279"/>
      <c r="R25" s="187"/>
      <c r="S25" s="267"/>
      <c r="T25" s="191"/>
      <c r="U25" s="279"/>
      <c r="V25" s="279"/>
      <c r="W25" s="203"/>
      <c r="X25" s="69"/>
    </row>
    <row r="26" spans="1:26" s="51" customFormat="1" ht="75" customHeight="1" x14ac:dyDescent="0.25">
      <c r="A26" s="93" t="s">
        <v>97</v>
      </c>
      <c r="B26" s="852">
        <v>42</v>
      </c>
      <c r="C26" s="46"/>
      <c r="D26" s="75"/>
      <c r="E26" s="47"/>
      <c r="F26" s="49">
        <f>F27+F28</f>
        <v>2280304.4666666668</v>
      </c>
      <c r="G26" s="866"/>
      <c r="H26" s="46"/>
      <c r="I26" s="47"/>
      <c r="J26" s="47"/>
      <c r="K26" s="94">
        <f>K27+K28</f>
        <v>0</v>
      </c>
      <c r="L26" s="49">
        <f>L27+L28</f>
        <v>2280304.4666666668</v>
      </c>
      <c r="M26" s="295"/>
      <c r="N26" s="852">
        <v>742</v>
      </c>
      <c r="O26" s="46"/>
      <c r="P26" s="75"/>
      <c r="Q26" s="47"/>
      <c r="R26" s="188">
        <f>R27+R28</f>
        <v>2280315.7333333329</v>
      </c>
      <c r="S26" s="1094">
        <v>10</v>
      </c>
      <c r="T26" s="68"/>
      <c r="U26" s="75"/>
      <c r="V26" s="47"/>
      <c r="W26" s="49">
        <f>W27+W28</f>
        <v>2280297</v>
      </c>
      <c r="X26" s="69"/>
    </row>
    <row r="27" spans="1:26" s="51" customFormat="1" ht="31.5" customHeight="1" x14ac:dyDescent="0.25">
      <c r="A27" s="96" t="s">
        <v>98</v>
      </c>
      <c r="B27" s="853"/>
      <c r="C27" s="53">
        <f>328/B26</f>
        <v>7.8095238095238093</v>
      </c>
      <c r="D27" s="54" t="s">
        <v>99</v>
      </c>
      <c r="E27" s="54">
        <f>F27/B26</f>
        <v>3720</v>
      </c>
      <c r="F27" s="56">
        <f>X27/3</f>
        <v>156240</v>
      </c>
      <c r="G27" s="867"/>
      <c r="H27" s="53">
        <f>J27/40</f>
        <v>132.17500000000001</v>
      </c>
      <c r="I27" s="54" t="s">
        <v>99</v>
      </c>
      <c r="J27" s="54">
        <v>5287</v>
      </c>
      <c r="K27" s="97">
        <f>J27*G26</f>
        <v>0</v>
      </c>
      <c r="L27" s="56">
        <f>F27+K27</f>
        <v>156240</v>
      </c>
      <c r="M27" s="295"/>
      <c r="N27" s="853"/>
      <c r="O27" s="53">
        <f>328/N26</f>
        <v>0.44204851752021562</v>
      </c>
      <c r="P27" s="54" t="s">
        <v>99</v>
      </c>
      <c r="Q27" s="54">
        <f>R27/N26</f>
        <v>210.57951482479785</v>
      </c>
      <c r="R27" s="296">
        <v>156250</v>
      </c>
      <c r="S27" s="1094"/>
      <c r="T27" s="70">
        <f>328/S26</f>
        <v>32.799999999999997</v>
      </c>
      <c r="U27" s="54" t="s">
        <v>99</v>
      </c>
      <c r="V27" s="54">
        <f>W27/S26</f>
        <v>15623</v>
      </c>
      <c r="W27" s="56">
        <f>X27-F27-R27</f>
        <v>156230</v>
      </c>
      <c r="X27" s="69">
        <f>ЦКС!P5-ЦКС!Q5</f>
        <v>468720</v>
      </c>
      <c r="Z27" s="69">
        <f>F27+R27+W27+F28+R28+W28+ЦКС!G59</f>
        <v>16624666</v>
      </c>
    </row>
    <row r="28" spans="1:26" s="51" customFormat="1" ht="31.5" customHeight="1" thickBot="1" x14ac:dyDescent="0.3">
      <c r="A28" s="98" t="s">
        <v>100</v>
      </c>
      <c r="B28" s="854"/>
      <c r="C28" s="59">
        <f>10168/B26</f>
        <v>242.0952380952381</v>
      </c>
      <c r="D28" s="60" t="s">
        <v>99</v>
      </c>
      <c r="E28" s="60">
        <f>F28/B26</f>
        <v>50572.963492063493</v>
      </c>
      <c r="F28" s="62">
        <f>X28-R28-W28</f>
        <v>2124064.4666666668</v>
      </c>
      <c r="G28" s="868"/>
      <c r="H28" s="59">
        <v>78.72</v>
      </c>
      <c r="I28" s="60" t="s">
        <v>99</v>
      </c>
      <c r="J28" s="60">
        <v>5943.77</v>
      </c>
      <c r="K28" s="99">
        <f>J28*G26</f>
        <v>0</v>
      </c>
      <c r="L28" s="62">
        <f>F28+K28</f>
        <v>2124064.4666666668</v>
      </c>
      <c r="M28" s="297"/>
      <c r="N28" s="854"/>
      <c r="O28" s="59">
        <f>10168/N26</f>
        <v>13.703504043126685</v>
      </c>
      <c r="P28" s="60" t="s">
        <v>99</v>
      </c>
      <c r="Q28" s="60">
        <f>R28/N26</f>
        <v>2862.6222821203946</v>
      </c>
      <c r="R28" s="298">
        <f>X28/3</f>
        <v>2124065.7333333329</v>
      </c>
      <c r="S28" s="1093"/>
      <c r="T28" s="71">
        <f>10168/S26</f>
        <v>1016.8</v>
      </c>
      <c r="U28" s="60" t="s">
        <v>99</v>
      </c>
      <c r="V28" s="60">
        <f>W28/S26</f>
        <v>212406.7</v>
      </c>
      <c r="W28" s="62">
        <f>2124067</f>
        <v>2124067</v>
      </c>
      <c r="X28" s="69">
        <f>16624666-X27-ЦКС!G59</f>
        <v>6372197.1999999993</v>
      </c>
    </row>
    <row r="29" spans="1:26" s="51" customFormat="1" ht="3" customHeight="1" thickBot="1" x14ac:dyDescent="0.3">
      <c r="A29" s="100"/>
      <c r="B29" s="64"/>
      <c r="C29" s="279"/>
      <c r="D29" s="279"/>
      <c r="E29" s="279"/>
      <c r="F29" s="283"/>
      <c r="G29" s="66"/>
      <c r="H29" s="279"/>
      <c r="I29" s="279"/>
      <c r="J29" s="279"/>
      <c r="K29" s="283"/>
      <c r="L29" s="283"/>
      <c r="M29" s="95"/>
      <c r="N29" s="64"/>
      <c r="O29" s="279"/>
      <c r="P29" s="279"/>
      <c r="Q29" s="279"/>
      <c r="R29" s="189"/>
      <c r="S29" s="284"/>
      <c r="T29" s="191"/>
      <c r="U29" s="279"/>
      <c r="V29" s="279"/>
      <c r="W29" s="283"/>
      <c r="X29" s="69"/>
    </row>
    <row r="30" spans="1:26" s="51" customFormat="1" ht="27.75" customHeight="1" x14ac:dyDescent="0.25">
      <c r="A30" s="101" t="s">
        <v>101</v>
      </c>
      <c r="B30" s="852">
        <v>42</v>
      </c>
      <c r="C30" s="46"/>
      <c r="D30" s="47"/>
      <c r="E30" s="47"/>
      <c r="F30" s="49">
        <f>F31+F32+F33+F34+F35+F36+F37</f>
        <v>56668</v>
      </c>
      <c r="G30" s="855"/>
      <c r="H30" s="46"/>
      <c r="I30" s="47"/>
      <c r="J30" s="47"/>
      <c r="K30" s="94"/>
      <c r="L30" s="49">
        <f>L31+L32+L33+L34+L35+L36+L37</f>
        <v>56668</v>
      </c>
      <c r="M30" s="197"/>
      <c r="N30" s="852">
        <v>742</v>
      </c>
      <c r="O30" s="46"/>
      <c r="P30" s="47"/>
      <c r="Q30" s="47"/>
      <c r="R30" s="188">
        <f>R31+R32+R33+R34+R35+R36+R37</f>
        <v>56668</v>
      </c>
      <c r="S30" s="1092">
        <v>10</v>
      </c>
      <c r="T30" s="68"/>
      <c r="U30" s="47"/>
      <c r="V30" s="47"/>
      <c r="W30" s="49">
        <f>W31+W32+W33+W34+W35+W36+W37</f>
        <v>56663.89</v>
      </c>
      <c r="X30" s="69"/>
    </row>
    <row r="31" spans="1:26" s="51" customFormat="1" ht="20.25" customHeight="1" x14ac:dyDescent="0.25">
      <c r="A31" s="102" t="s">
        <v>102</v>
      </c>
      <c r="B31" s="853"/>
      <c r="C31" s="53">
        <f>1/42</f>
        <v>2.3809523809523808E-2</v>
      </c>
      <c r="D31" s="54" t="s">
        <v>82</v>
      </c>
      <c r="E31" s="54">
        <f>F31/B30</f>
        <v>238.0952380952381</v>
      </c>
      <c r="F31" s="56">
        <f>X31/3</f>
        <v>10000</v>
      </c>
      <c r="G31" s="856"/>
      <c r="H31" s="53">
        <v>0.03</v>
      </c>
      <c r="I31" s="54" t="s">
        <v>103</v>
      </c>
      <c r="J31" s="54">
        <v>119.2</v>
      </c>
      <c r="K31" s="97">
        <f>J31*G30</f>
        <v>0</v>
      </c>
      <c r="L31" s="56">
        <f>F31+K31</f>
        <v>10000</v>
      </c>
      <c r="M31" s="198"/>
      <c r="N31" s="853"/>
      <c r="O31" s="767">
        <f>1/800</f>
        <v>1.25E-3</v>
      </c>
      <c r="P31" s="54" t="s">
        <v>82</v>
      </c>
      <c r="Q31" s="54">
        <f>R31/N30</f>
        <v>13.477088948787062</v>
      </c>
      <c r="R31" s="296">
        <f>X31/3</f>
        <v>10000</v>
      </c>
      <c r="S31" s="1094"/>
      <c r="T31" s="70">
        <f>1/10</f>
        <v>0.1</v>
      </c>
      <c r="U31" s="54" t="s">
        <v>82</v>
      </c>
      <c r="V31" s="54">
        <f>W31/S30</f>
        <v>1000</v>
      </c>
      <c r="W31" s="56">
        <f>X31/3</f>
        <v>10000</v>
      </c>
      <c r="X31" s="69">
        <v>30000</v>
      </c>
    </row>
    <row r="32" spans="1:26" s="51" customFormat="1" ht="67.5" customHeight="1" x14ac:dyDescent="0.25">
      <c r="A32" s="102" t="s">
        <v>104</v>
      </c>
      <c r="B32" s="853"/>
      <c r="C32" s="53">
        <f>1/42</f>
        <v>2.3809523809523808E-2</v>
      </c>
      <c r="D32" s="54" t="s">
        <v>82</v>
      </c>
      <c r="E32" s="54">
        <f>F32/B30</f>
        <v>238.0952380952381</v>
      </c>
      <c r="F32" s="56">
        <f>10000</f>
        <v>10000</v>
      </c>
      <c r="G32" s="856"/>
      <c r="H32" s="53">
        <v>1</v>
      </c>
      <c r="I32" s="54" t="s">
        <v>82</v>
      </c>
      <c r="J32" s="54">
        <v>28</v>
      </c>
      <c r="K32" s="97">
        <f>J32*G30</f>
        <v>0</v>
      </c>
      <c r="L32" s="56">
        <f>F32+K32</f>
        <v>10000</v>
      </c>
      <c r="M32" s="198"/>
      <c r="N32" s="853"/>
      <c r="O32" s="767">
        <f>1/800</f>
        <v>1.25E-3</v>
      </c>
      <c r="P32" s="54" t="s">
        <v>82</v>
      </c>
      <c r="Q32" s="54">
        <f>R32/N30</f>
        <v>13.477088948787062</v>
      </c>
      <c r="R32" s="296">
        <f>10000</f>
        <v>10000</v>
      </c>
      <c r="S32" s="1094"/>
      <c r="T32" s="70">
        <f>1/10</f>
        <v>0.1</v>
      </c>
      <c r="U32" s="54" t="s">
        <v>82</v>
      </c>
      <c r="V32" s="54">
        <f>W32/S30</f>
        <v>1000</v>
      </c>
      <c r="W32" s="56">
        <f>10000</f>
        <v>10000</v>
      </c>
      <c r="X32" s="69">
        <v>30000</v>
      </c>
    </row>
    <row r="33" spans="1:27" s="51" customFormat="1" ht="43.5" customHeight="1" x14ac:dyDescent="0.25">
      <c r="A33" s="102" t="s">
        <v>105</v>
      </c>
      <c r="B33" s="853"/>
      <c r="C33" s="53">
        <f>1/42</f>
        <v>2.3809523809523808E-2</v>
      </c>
      <c r="D33" s="54" t="s">
        <v>82</v>
      </c>
      <c r="E33" s="54">
        <f>F33/B30</f>
        <v>198.42857142857142</v>
      </c>
      <c r="F33" s="56">
        <v>8334</v>
      </c>
      <c r="G33" s="856"/>
      <c r="H33" s="53">
        <v>0.02</v>
      </c>
      <c r="I33" s="54" t="s">
        <v>103</v>
      </c>
      <c r="J33" s="54">
        <v>12</v>
      </c>
      <c r="K33" s="97">
        <f>J33*G30</f>
        <v>0</v>
      </c>
      <c r="L33" s="56">
        <f>F33+K33</f>
        <v>8334</v>
      </c>
      <c r="M33" s="198"/>
      <c r="N33" s="853"/>
      <c r="O33" s="767">
        <f>1/800</f>
        <v>1.25E-3</v>
      </c>
      <c r="P33" s="54" t="s">
        <v>82</v>
      </c>
      <c r="Q33" s="54">
        <f>R33/N30</f>
        <v>11.231805929919137</v>
      </c>
      <c r="R33" s="296">
        <v>8334</v>
      </c>
      <c r="S33" s="1094"/>
      <c r="T33" s="70">
        <f>1/10</f>
        <v>0.1</v>
      </c>
      <c r="U33" s="54" t="s">
        <v>82</v>
      </c>
      <c r="V33" s="54">
        <f>W33/S30</f>
        <v>833.18899999999996</v>
      </c>
      <c r="W33" s="56">
        <f>X33-F33-R33-0.11</f>
        <v>8331.89</v>
      </c>
      <c r="X33" s="69">
        <f>25000</f>
        <v>25000</v>
      </c>
    </row>
    <row r="34" spans="1:27" s="51" customFormat="1" ht="31.5" customHeight="1" x14ac:dyDescent="0.25">
      <c r="A34" s="102" t="s">
        <v>106</v>
      </c>
      <c r="B34" s="853"/>
      <c r="C34" s="53">
        <f>1/42</f>
        <v>2.3809523809523808E-2</v>
      </c>
      <c r="D34" s="54" t="s">
        <v>82</v>
      </c>
      <c r="E34" s="54">
        <f>F33/B30</f>
        <v>198.42857142857142</v>
      </c>
      <c r="F34" s="56">
        <v>8334</v>
      </c>
      <c r="G34" s="856"/>
      <c r="H34" s="53">
        <v>3</v>
      </c>
      <c r="I34" s="54" t="s">
        <v>82</v>
      </c>
      <c r="J34" s="54">
        <v>91.6</v>
      </c>
      <c r="K34" s="97">
        <f>J34*G30</f>
        <v>0</v>
      </c>
      <c r="L34" s="56">
        <f>F34+K34</f>
        <v>8334</v>
      </c>
      <c r="M34" s="198"/>
      <c r="N34" s="853"/>
      <c r="O34" s="767">
        <f>1/800</f>
        <v>1.25E-3</v>
      </c>
      <c r="P34" s="54" t="s">
        <v>82</v>
      </c>
      <c r="Q34" s="54">
        <f>R34/N30</f>
        <v>11.231805929919137</v>
      </c>
      <c r="R34" s="296">
        <v>8334</v>
      </c>
      <c r="S34" s="1094"/>
      <c r="T34" s="70">
        <f>1/10</f>
        <v>0.1</v>
      </c>
      <c r="U34" s="54" t="s">
        <v>82</v>
      </c>
      <c r="V34" s="54">
        <f>W34/S30</f>
        <v>833.2</v>
      </c>
      <c r="W34" s="56">
        <f>X34-F34-R34</f>
        <v>8332</v>
      </c>
      <c r="X34" s="69">
        <f>25000</f>
        <v>25000</v>
      </c>
    </row>
    <row r="35" spans="1:27" s="51" customFormat="1" ht="15.75" customHeight="1" x14ac:dyDescent="0.25">
      <c r="A35" s="102" t="s">
        <v>107</v>
      </c>
      <c r="B35" s="853"/>
      <c r="C35" s="53"/>
      <c r="D35" s="54" t="s">
        <v>103</v>
      </c>
      <c r="E35" s="54"/>
      <c r="F35" s="56"/>
      <c r="G35" s="856"/>
      <c r="H35" s="53"/>
      <c r="I35" s="54" t="s">
        <v>103</v>
      </c>
      <c r="J35" s="54"/>
      <c r="K35" s="97"/>
      <c r="L35" s="56"/>
      <c r="M35" s="198"/>
      <c r="N35" s="853"/>
      <c r="O35" s="767"/>
      <c r="P35" s="54" t="s">
        <v>103</v>
      </c>
      <c r="Q35" s="54"/>
      <c r="R35" s="296"/>
      <c r="S35" s="1094"/>
      <c r="T35" s="70"/>
      <c r="U35" s="54" t="s">
        <v>103</v>
      </c>
      <c r="V35" s="54"/>
      <c r="W35" s="56"/>
      <c r="X35" s="69"/>
    </row>
    <row r="36" spans="1:27" s="51" customFormat="1" ht="16.5" customHeight="1" x14ac:dyDescent="0.25">
      <c r="A36" s="102" t="s">
        <v>108</v>
      </c>
      <c r="B36" s="853"/>
      <c r="C36" s="53">
        <f>1/42</f>
        <v>2.3809523809523808E-2</v>
      </c>
      <c r="D36" s="54" t="s">
        <v>82</v>
      </c>
      <c r="E36" s="54"/>
      <c r="F36" s="56"/>
      <c r="G36" s="856"/>
      <c r="H36" s="53"/>
      <c r="I36" s="54" t="s">
        <v>82</v>
      </c>
      <c r="J36" s="54"/>
      <c r="K36" s="97"/>
      <c r="L36" s="56"/>
      <c r="M36" s="198"/>
      <c r="N36" s="853"/>
      <c r="O36" s="767">
        <f>1/800</f>
        <v>1.25E-3</v>
      </c>
      <c r="P36" s="54" t="s">
        <v>82</v>
      </c>
      <c r="Q36" s="54"/>
      <c r="R36" s="296"/>
      <c r="S36" s="1094"/>
      <c r="T36" s="70">
        <f>1/10</f>
        <v>0.1</v>
      </c>
      <c r="U36" s="54" t="s">
        <v>82</v>
      </c>
      <c r="V36" s="54"/>
      <c r="W36" s="56"/>
      <c r="X36" s="69"/>
    </row>
    <row r="37" spans="1:27" s="51" customFormat="1" ht="32.25" customHeight="1" thickBot="1" x14ac:dyDescent="0.3">
      <c r="A37" s="103" t="s">
        <v>109</v>
      </c>
      <c r="B37" s="854"/>
      <c r="C37" s="59">
        <f>1/42</f>
        <v>2.3809523809523808E-2</v>
      </c>
      <c r="D37" s="60" t="s">
        <v>82</v>
      </c>
      <c r="E37" s="60">
        <f>F37/B30</f>
        <v>476.1904761904762</v>
      </c>
      <c r="F37" s="62">
        <v>20000</v>
      </c>
      <c r="G37" s="857"/>
      <c r="H37" s="59">
        <v>2</v>
      </c>
      <c r="I37" s="60" t="s">
        <v>82</v>
      </c>
      <c r="J37" s="60">
        <v>79.2</v>
      </c>
      <c r="K37" s="99">
        <v>0</v>
      </c>
      <c r="L37" s="62">
        <f>F37+K37</f>
        <v>20000</v>
      </c>
      <c r="M37" s="199"/>
      <c r="N37" s="854"/>
      <c r="O37" s="768">
        <f>1/800</f>
        <v>1.25E-3</v>
      </c>
      <c r="P37" s="60" t="s">
        <v>82</v>
      </c>
      <c r="Q37" s="60">
        <f>R37/N30</f>
        <v>26.954177897574123</v>
      </c>
      <c r="R37" s="298">
        <v>20000</v>
      </c>
      <c r="S37" s="1093"/>
      <c r="T37" s="71">
        <f>1/10</f>
        <v>0.1</v>
      </c>
      <c r="U37" s="60" t="s">
        <v>82</v>
      </c>
      <c r="V37" s="60">
        <f>W37/S30</f>
        <v>2000</v>
      </c>
      <c r="W37" s="62">
        <v>20000</v>
      </c>
      <c r="X37" s="69">
        <v>60000</v>
      </c>
    </row>
    <row r="38" spans="1:27" s="51" customFormat="1" ht="2.25" customHeight="1" x14ac:dyDescent="0.25">
      <c r="A38" s="206"/>
      <c r="B38" s="207"/>
      <c r="C38" s="280"/>
      <c r="D38" s="280"/>
      <c r="E38" s="280"/>
      <c r="F38" s="282"/>
      <c r="G38" s="208"/>
      <c r="H38" s="858"/>
      <c r="I38" s="280"/>
      <c r="J38" s="280"/>
      <c r="K38" s="282"/>
      <c r="L38" s="860"/>
      <c r="M38" s="197"/>
      <c r="N38" s="207"/>
      <c r="O38" s="280"/>
      <c r="P38" s="280"/>
      <c r="Q38" s="280"/>
      <c r="R38" s="209"/>
      <c r="S38" s="1092"/>
      <c r="T38" s="210"/>
      <c r="U38" s="280"/>
      <c r="V38" s="280"/>
      <c r="W38" s="211"/>
      <c r="X38" s="69"/>
    </row>
    <row r="39" spans="1:27" s="51" customFormat="1" ht="12.75" customHeight="1" thickBot="1" x14ac:dyDescent="0.3">
      <c r="A39" s="212"/>
      <c r="B39" s="213"/>
      <c r="C39" s="281"/>
      <c r="D39" s="281"/>
      <c r="E39" s="281"/>
      <c r="F39" s="286"/>
      <c r="G39" s="214"/>
      <c r="H39" s="859"/>
      <c r="I39" s="281"/>
      <c r="J39" s="281"/>
      <c r="K39" s="286"/>
      <c r="L39" s="1079"/>
      <c r="M39" s="199"/>
      <c r="N39" s="213"/>
      <c r="O39" s="281"/>
      <c r="P39" s="281"/>
      <c r="Q39" s="281"/>
      <c r="R39" s="205"/>
      <c r="S39" s="1093"/>
      <c r="T39" s="215"/>
      <c r="U39" s="281"/>
      <c r="V39" s="281"/>
      <c r="W39" s="204"/>
      <c r="X39" s="69"/>
    </row>
    <row r="40" spans="1:27" s="51" customFormat="1" ht="15.75" thickBot="1" x14ac:dyDescent="0.3">
      <c r="A40" s="216" t="s">
        <v>63</v>
      </c>
      <c r="B40" s="217"/>
      <c r="C40" s="218"/>
      <c r="D40" s="218"/>
      <c r="E40" s="299">
        <f>E6+E7+E8+E11+E12+E13+E15+E16+E19+E23+E24+E27+E28+E31+E32+E33+E34+E20+E37</f>
        <v>73732.058730158722</v>
      </c>
      <c r="F40" s="283">
        <f>F5+F10+F22+F26+F30+F18</f>
        <v>3096746.4666666668</v>
      </c>
      <c r="G40" s="283"/>
      <c r="H40" s="283"/>
      <c r="I40" s="283"/>
      <c r="J40" s="283"/>
      <c r="K40" s="283">
        <f t="shared" ref="K40:M40" si="1">K5+K10+K22+K26+K30</f>
        <v>0</v>
      </c>
      <c r="L40" s="219">
        <f>L5+L10+L22+L26+L30</f>
        <v>2821688.4666666668</v>
      </c>
      <c r="M40" s="181">
        <f t="shared" si="1"/>
        <v>0</v>
      </c>
      <c r="N40" s="217"/>
      <c r="O40" s="218"/>
      <c r="P40" s="218"/>
      <c r="Q40" s="299">
        <f>Q6+Q7+Q8+Q11+Q12+Q13+Q15+Q16+Q19+Q23+Q24+Q27+Q28+Q31+Q32+Q33+Q34+Q37+Q20</f>
        <v>4173.5279424977534</v>
      </c>
      <c r="R40" s="189">
        <f>R5+R10+R22+R26+R30+R18</f>
        <v>3096757.7333333329</v>
      </c>
      <c r="S40" s="284"/>
      <c r="T40" s="220"/>
      <c r="U40" s="218"/>
      <c r="V40" s="299">
        <f>V6+V7+V8+V11+V12+V13+V15+V16+V19+V23+V24+V27+V28+V31+V32+V33+V34+V37+V20</f>
        <v>309672.7</v>
      </c>
      <c r="W40" s="283">
        <f>W5+W10+W22+W26+W30+W18</f>
        <v>3096727</v>
      </c>
      <c r="X40" s="69"/>
    </row>
    <row r="41" spans="1:27" s="51" customFormat="1" ht="6" customHeight="1" thickBot="1" x14ac:dyDescent="0.3">
      <c r="A41" s="174"/>
      <c r="B41" s="229"/>
      <c r="C41" s="230"/>
      <c r="D41" s="230"/>
      <c r="E41" s="230"/>
      <c r="F41" s="230"/>
      <c r="G41" s="230"/>
      <c r="H41" s="230"/>
      <c r="I41" s="230"/>
      <c r="J41" s="230"/>
      <c r="K41" s="230"/>
      <c r="L41" s="231"/>
      <c r="M41" s="229"/>
      <c r="N41" s="229"/>
      <c r="O41" s="230"/>
      <c r="P41" s="230"/>
      <c r="Q41" s="230"/>
      <c r="R41" s="230"/>
      <c r="S41" s="176"/>
      <c r="T41" s="230"/>
      <c r="U41" s="230"/>
      <c r="V41" s="230"/>
      <c r="W41" s="192"/>
      <c r="X41" s="69"/>
    </row>
    <row r="42" spans="1:27" s="51" customFormat="1" ht="60" hidden="1" x14ac:dyDescent="0.25">
      <c r="A42" s="221" t="s">
        <v>110</v>
      </c>
      <c r="B42" s="1076">
        <v>42</v>
      </c>
      <c r="C42" s="222"/>
      <c r="D42" s="223"/>
      <c r="E42" s="223"/>
      <c r="F42" s="224">
        <f>F5+F10+F22+F26+F30</f>
        <v>2821688.4666666668</v>
      </c>
      <c r="G42" s="1078"/>
      <c r="H42" s="225"/>
      <c r="I42" s="226"/>
      <c r="J42" s="226"/>
      <c r="K42" s="227">
        <f>ДХШ!N5+'ДХШ 2'!J16</f>
        <v>0</v>
      </c>
      <c r="L42" s="224">
        <f>F42+K42</f>
        <v>2821688.4666666668</v>
      </c>
      <c r="M42" s="120" t="s">
        <v>111</v>
      </c>
      <c r="N42" s="1076">
        <v>431</v>
      </c>
      <c r="O42" s="222"/>
      <c r="P42" s="223"/>
      <c r="Q42" s="223"/>
      <c r="R42" s="228">
        <f>R5+R10+R22+R26+R30</f>
        <v>2821699.7333333329</v>
      </c>
      <c r="S42" s="1092">
        <v>10</v>
      </c>
      <c r="T42" s="222"/>
      <c r="U42" s="223"/>
      <c r="V42" s="223"/>
      <c r="W42" s="224">
        <f>W5+W10+W22+W26+W30</f>
        <v>2821668</v>
      </c>
      <c r="X42" s="69"/>
    </row>
    <row r="43" spans="1:27" s="51" customFormat="1" ht="75.75" hidden="1" thickBot="1" x14ac:dyDescent="0.3">
      <c r="A43" s="122" t="s">
        <v>112</v>
      </c>
      <c r="B43" s="1077"/>
      <c r="C43" s="123"/>
      <c r="D43" s="124"/>
      <c r="E43" s="124"/>
      <c r="F43" s="128">
        <f>ЦКС!G19+'ЦКС 2'!D13</f>
        <v>3295639.6</v>
      </c>
      <c r="G43" s="863"/>
      <c r="H43" s="125"/>
      <c r="I43" s="126"/>
      <c r="J43" s="126"/>
      <c r="K43" s="127">
        <f>K5+K10+K22+K26+K30</f>
        <v>0</v>
      </c>
      <c r="L43" s="128">
        <f>F43+K43</f>
        <v>3295639.6</v>
      </c>
      <c r="M43" s="120" t="s">
        <v>113</v>
      </c>
      <c r="N43" s="1077"/>
      <c r="O43" s="123"/>
      <c r="P43" s="124"/>
      <c r="Q43" s="124"/>
      <c r="R43" s="190">
        <f>ЦКС!G38+'ЦКС 2'!D27</f>
        <v>3295639.6</v>
      </c>
      <c r="S43" s="1093"/>
      <c r="T43" s="123"/>
      <c r="U43" s="124"/>
      <c r="V43" s="124"/>
      <c r="W43" s="128">
        <f>ЦКС!G57+'ЦКС 2'!D41</f>
        <v>3295639.6</v>
      </c>
      <c r="X43" s="69"/>
    </row>
    <row r="44" spans="1:27" s="51" customFormat="1" ht="3.75" hidden="1" customHeight="1" x14ac:dyDescent="0.25">
      <c r="A44" s="50"/>
      <c r="B44" s="50"/>
      <c r="C44" s="114"/>
      <c r="D44" s="114"/>
      <c r="E44" s="114"/>
      <c r="F44" s="115"/>
      <c r="G44" s="115"/>
      <c r="H44" s="115"/>
      <c r="I44" s="115"/>
      <c r="J44" s="115"/>
      <c r="K44" s="114"/>
      <c r="L44" s="129"/>
      <c r="M44" s="120"/>
      <c r="N44" s="50"/>
      <c r="O44" s="114"/>
      <c r="P44" s="114"/>
      <c r="Q44" s="114"/>
      <c r="R44" s="115"/>
      <c r="S44" s="233"/>
      <c r="T44" s="114"/>
      <c r="U44" s="114"/>
      <c r="V44" s="114"/>
      <c r="W44" s="115"/>
      <c r="X44" s="69"/>
    </row>
    <row r="45" spans="1:27" s="51" customFormat="1" ht="15.75" hidden="1" thickBot="1" x14ac:dyDescent="0.3">
      <c r="A45" s="175" t="s">
        <v>69</v>
      </c>
      <c r="B45" s="175"/>
      <c r="C45" s="176"/>
      <c r="D45" s="176"/>
      <c r="E45" s="312">
        <f>E6+E7+E8+E11+E12+E13+E15+E16+E23+E24+E27+E28+E31+E32+E33+E34+E37</f>
        <v>67183.058730158722</v>
      </c>
      <c r="F45" s="177">
        <f>F42+F43</f>
        <v>6117328.0666666664</v>
      </c>
      <c r="G45" s="130"/>
      <c r="H45" s="130"/>
      <c r="I45" s="130"/>
      <c r="J45" s="130"/>
      <c r="K45" s="130">
        <f>K42+K43</f>
        <v>0</v>
      </c>
      <c r="L45" s="131">
        <f>F45+K45</f>
        <v>6117328.0666666664</v>
      </c>
      <c r="M45" s="121"/>
      <c r="N45" s="175"/>
      <c r="O45" s="176"/>
      <c r="P45" s="176"/>
      <c r="Q45" s="312">
        <f>Q6+Q7+Q8+Q11+Q12+Q13+Q15+Q16+Q23+Q24+Q27+Q28+Q31+Q32+Q33+Q34+Q37</f>
        <v>3802.8298292902059</v>
      </c>
      <c r="R45" s="182">
        <f>R42+R43</f>
        <v>6117339.333333333</v>
      </c>
      <c r="S45" s="232"/>
      <c r="T45" s="192"/>
      <c r="U45" s="176"/>
      <c r="V45" s="312">
        <f>V6+V7+V8+V11+V12+V13+V15+V16+V23+V24+V27+V28+V31+V32+V33+V34+V37</f>
        <v>282166.80000000005</v>
      </c>
      <c r="W45" s="177">
        <f>W42+W43</f>
        <v>6117307.5999999996</v>
      </c>
      <c r="X45" s="69"/>
    </row>
    <row r="46" spans="1:27" s="51" customFormat="1" x14ac:dyDescent="0.25">
      <c r="A46" s="50"/>
      <c r="B46" s="50"/>
      <c r="C46" s="114"/>
      <c r="D46" s="114"/>
      <c r="E46" s="115">
        <f>ЦКС!F19</f>
        <v>77648.800000000003</v>
      </c>
      <c r="F46" s="114"/>
      <c r="G46" s="114"/>
      <c r="H46" s="114"/>
      <c r="I46" s="114"/>
      <c r="J46" s="114"/>
      <c r="K46" s="114"/>
      <c r="L46" s="132"/>
      <c r="M46" s="121"/>
      <c r="N46" s="121"/>
      <c r="O46" s="133">
        <f>L45</f>
        <v>6117328.0666666664</v>
      </c>
      <c r="Q46" s="69">
        <f>ЦКС!F38</f>
        <v>4395.2150943396236</v>
      </c>
      <c r="V46" s="69">
        <f>ЦКС!F57</f>
        <v>326124.96000000002</v>
      </c>
    </row>
    <row r="47" spans="1:27" x14ac:dyDescent="0.25">
      <c r="A47" s="32"/>
      <c r="B47" s="50"/>
      <c r="C47" s="50"/>
      <c r="D47" s="50"/>
      <c r="E47" s="95">
        <f>'ЦКС 2'!C13</f>
        <v>818.80952380952374</v>
      </c>
      <c r="F47" s="50"/>
      <c r="G47" s="50"/>
      <c r="H47" s="50"/>
      <c r="I47" s="50"/>
      <c r="J47" s="50"/>
      <c r="K47" s="50"/>
      <c r="L47" s="95"/>
      <c r="M47" s="69"/>
      <c r="N47" s="69"/>
      <c r="O47" s="69"/>
      <c r="P47" s="69"/>
      <c r="Q47" s="69">
        <f>'ЦКС 2'!C27</f>
        <v>46.347708894878707</v>
      </c>
      <c r="V47" s="69">
        <f>'ЦКС 2'!C41</f>
        <v>3439</v>
      </c>
      <c r="X47" s="69">
        <f>F40+R40+W40+'ЦКС 2'!D13+'ЦКС 2'!D27+'ЦКС 2'!D41+ЦКС!G19+ЦКС!G38+ЦКС!G57</f>
        <v>19177150</v>
      </c>
      <c r="Z47" s="30"/>
      <c r="AA47" s="30"/>
    </row>
    <row r="48" spans="1:27" x14ac:dyDescent="0.25">
      <c r="A48" s="32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95"/>
      <c r="M48" s="69"/>
      <c r="N48" s="69"/>
      <c r="O48" s="69"/>
      <c r="P48" s="69"/>
      <c r="X48" s="69">
        <f>'ЦКС 4'!X10</f>
        <v>1272850</v>
      </c>
      <c r="Z48" s="30"/>
    </row>
    <row r="49" spans="5:27" x14ac:dyDescent="0.25">
      <c r="E49" s="69">
        <f>E40+E46+E47</f>
        <v>152199.66825396824</v>
      </c>
      <c r="L49" s="69"/>
      <c r="M49" s="69"/>
      <c r="N49" s="69"/>
      <c r="O49" s="69"/>
      <c r="P49" s="69"/>
      <c r="Q49" s="69">
        <f>Q40+Q46+Q47</f>
        <v>8615.0907457322555</v>
      </c>
      <c r="V49" s="69">
        <f>V40+V46+V47</f>
        <v>639236.66</v>
      </c>
      <c r="X49" s="69">
        <f>X47+X48</f>
        <v>20450000</v>
      </c>
      <c r="Z49" s="30"/>
      <c r="AA49" s="30"/>
    </row>
    <row r="50" spans="5:27" x14ac:dyDescent="0.25">
      <c r="L50" s="69"/>
      <c r="M50" s="69"/>
      <c r="N50" s="95"/>
      <c r="O50" s="95"/>
      <c r="P50" s="95"/>
      <c r="Q50" s="50"/>
      <c r="R50" s="50"/>
      <c r="S50" s="50"/>
      <c r="T50" s="50"/>
      <c r="U50" s="50"/>
      <c r="V50" s="50"/>
      <c r="W50" s="50"/>
      <c r="Z50" s="30"/>
    </row>
    <row r="51" spans="5:27" x14ac:dyDescent="0.25">
      <c r="L51" s="69"/>
      <c r="M51" s="69"/>
      <c r="N51" s="95"/>
      <c r="O51" s="1091" t="s">
        <v>178</v>
      </c>
      <c r="P51" s="1091"/>
      <c r="Q51" s="1091"/>
      <c r="R51" s="1091"/>
      <c r="S51" s="1091"/>
      <c r="T51" s="1091"/>
      <c r="U51" s="1091"/>
      <c r="V51" s="1091"/>
      <c r="W51" s="1091"/>
      <c r="X51" s="69"/>
    </row>
    <row r="52" spans="5:27" ht="30" x14ac:dyDescent="0.25">
      <c r="L52" s="69"/>
      <c r="M52" s="69"/>
      <c r="N52" s="95"/>
      <c r="O52" s="313" t="s">
        <v>179</v>
      </c>
      <c r="P52" s="313"/>
      <c r="Q52" s="313" t="s">
        <v>180</v>
      </c>
      <c r="R52" s="313"/>
      <c r="S52" s="313"/>
      <c r="T52" s="313" t="s">
        <v>179</v>
      </c>
      <c r="U52" s="313"/>
      <c r="V52" s="313" t="s">
        <v>180</v>
      </c>
      <c r="W52" s="313"/>
    </row>
    <row r="53" spans="5:27" x14ac:dyDescent="0.25">
      <c r="N53" s="50"/>
      <c r="O53" s="314">
        <v>3790</v>
      </c>
      <c r="P53" s="314"/>
      <c r="Q53" s="314">
        <v>50</v>
      </c>
      <c r="R53" s="314">
        <f>O53*Q53</f>
        <v>189500</v>
      </c>
      <c r="S53" s="314"/>
      <c r="T53" s="314">
        <v>672</v>
      </c>
      <c r="U53" s="314"/>
      <c r="V53" s="314">
        <v>90</v>
      </c>
      <c r="W53" s="314">
        <f>T53*V53</f>
        <v>60480</v>
      </c>
      <c r="X53" s="69"/>
    </row>
    <row r="54" spans="5:27" x14ac:dyDescent="0.25">
      <c r="N54" s="50"/>
      <c r="O54" s="314"/>
      <c r="P54" s="314"/>
      <c r="Q54" s="314"/>
      <c r="R54" s="314"/>
      <c r="S54" s="314"/>
      <c r="T54" s="314"/>
      <c r="U54" s="314"/>
      <c r="V54" s="314"/>
      <c r="W54" s="314"/>
    </row>
    <row r="55" spans="5:27" x14ac:dyDescent="0.25">
      <c r="N55" s="50"/>
      <c r="O55" s="50"/>
      <c r="P55" s="50"/>
      <c r="Q55" s="50"/>
      <c r="R55" s="50"/>
      <c r="S55" s="50"/>
      <c r="T55" s="50"/>
      <c r="U55" s="50"/>
      <c r="V55" s="50"/>
      <c r="W55" s="50"/>
    </row>
    <row r="56" spans="5:27" x14ac:dyDescent="0.25">
      <c r="N56" s="50"/>
      <c r="O56" s="50"/>
      <c r="P56" s="50"/>
      <c r="Q56" s="50"/>
      <c r="R56" s="50"/>
      <c r="S56" s="50"/>
      <c r="T56" s="50"/>
      <c r="U56" s="50"/>
      <c r="V56" s="50"/>
      <c r="W56" s="95">
        <f>R53+W53+20</f>
        <v>250000</v>
      </c>
    </row>
    <row r="58" spans="5:27" x14ac:dyDescent="0.25">
      <c r="W58" s="69">
        <f>X49-W56</f>
        <v>20200000</v>
      </c>
    </row>
  </sheetData>
  <mergeCells count="37">
    <mergeCell ref="O51:W51"/>
    <mergeCell ref="N42:N43"/>
    <mergeCell ref="S38:S39"/>
    <mergeCell ref="S18:S20"/>
    <mergeCell ref="S22:S24"/>
    <mergeCell ref="S26:S28"/>
    <mergeCell ref="S30:S37"/>
    <mergeCell ref="S42:S43"/>
    <mergeCell ref="N18:N20"/>
    <mergeCell ref="O2:R2"/>
    <mergeCell ref="T2:W2"/>
    <mergeCell ref="A1:W1"/>
    <mergeCell ref="N5:N8"/>
    <mergeCell ref="N10:N16"/>
    <mergeCell ref="C2:F2"/>
    <mergeCell ref="H2:K2"/>
    <mergeCell ref="B5:B8"/>
    <mergeCell ref="G5:G8"/>
    <mergeCell ref="B10:B16"/>
    <mergeCell ref="G10:G16"/>
    <mergeCell ref="S5:S8"/>
    <mergeCell ref="S10:S16"/>
    <mergeCell ref="H38:H39"/>
    <mergeCell ref="L38:L39"/>
    <mergeCell ref="N22:N24"/>
    <mergeCell ref="N26:N28"/>
    <mergeCell ref="N30:N37"/>
    <mergeCell ref="B42:B43"/>
    <mergeCell ref="G42:G43"/>
    <mergeCell ref="B18:B20"/>
    <mergeCell ref="G18:G20"/>
    <mergeCell ref="B22:B24"/>
    <mergeCell ref="G22:G24"/>
    <mergeCell ref="B26:B28"/>
    <mergeCell ref="G26:G28"/>
    <mergeCell ref="B30:B37"/>
    <mergeCell ref="G30:G37"/>
  </mergeCells>
  <pageMargins left="0.25" right="0.25" top="0.75" bottom="0.75" header="0.3" footer="0.3"/>
  <pageSetup paperSize="9" scale="83" fitToHeight="0" orientation="landscape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71"/>
  <sheetViews>
    <sheetView zoomScale="70" zoomScaleNormal="70" workbookViewId="0">
      <selection activeCell="V18" sqref="V18"/>
    </sheetView>
  </sheetViews>
  <sheetFormatPr defaultRowHeight="18.75" x14ac:dyDescent="0.3"/>
  <cols>
    <col min="1" max="1" width="6.5703125" style="719" customWidth="1"/>
    <col min="2" max="4" width="9.140625" style="719"/>
    <col min="5" max="5" width="14.7109375" style="719" customWidth="1"/>
    <col min="6" max="6" width="16.85546875" style="719" hidden="1" customWidth="1"/>
    <col min="7" max="7" width="8" style="719" customWidth="1"/>
    <col min="8" max="8" width="13.140625" style="719" customWidth="1"/>
    <col min="9" max="9" width="18.5703125" style="725" customWidth="1"/>
    <col min="10" max="10" width="20.5703125" style="725" customWidth="1"/>
    <col min="11" max="11" width="0.28515625" style="719" customWidth="1"/>
    <col min="12" max="12" width="4.42578125" style="51" hidden="1" customWidth="1"/>
    <col min="13" max="13" width="10" style="51" hidden="1" customWidth="1"/>
    <col min="14" max="15" width="9.140625" style="51" hidden="1" customWidth="1"/>
    <col min="16" max="16" width="13" style="51" hidden="1" customWidth="1"/>
    <col min="17" max="17" width="9.140625" style="51" hidden="1" customWidth="1"/>
    <col min="18" max="45" width="9.140625" style="51"/>
  </cols>
  <sheetData>
    <row r="1" spans="1:14" s="51" customFormat="1" x14ac:dyDescent="0.3">
      <c r="A1" s="719"/>
      <c r="B1" s="719"/>
      <c r="C1" s="719"/>
      <c r="D1" s="719"/>
      <c r="E1" s="719"/>
      <c r="F1" s="719"/>
      <c r="G1" s="719"/>
      <c r="H1" s="719"/>
      <c r="I1" s="725"/>
      <c r="J1" s="724" t="s">
        <v>28</v>
      </c>
      <c r="K1" s="719"/>
    </row>
    <row r="2" spans="1:14" s="51" customFormat="1" x14ac:dyDescent="0.3">
      <c r="A2" s="719"/>
      <c r="B2" s="719"/>
      <c r="C2" s="719"/>
      <c r="D2" s="719"/>
      <c r="E2" s="719"/>
      <c r="F2" s="719"/>
      <c r="G2" s="719"/>
      <c r="H2" s="719"/>
      <c r="I2" s="725"/>
      <c r="J2" s="724" t="s">
        <v>29</v>
      </c>
      <c r="K2" s="719"/>
    </row>
    <row r="3" spans="1:14" s="51" customFormat="1" x14ac:dyDescent="0.3">
      <c r="A3" s="901" t="s">
        <v>30</v>
      </c>
      <c r="B3" s="901"/>
      <c r="C3" s="901"/>
      <c r="D3" s="901"/>
      <c r="E3" s="901"/>
      <c r="F3" s="901"/>
      <c r="G3" s="901"/>
      <c r="H3" s="901"/>
      <c r="I3" s="901"/>
      <c r="J3" s="901"/>
      <c r="K3" s="719"/>
    </row>
    <row r="4" spans="1:14" s="51" customFormat="1" x14ac:dyDescent="0.3">
      <c r="A4" s="910" t="s">
        <v>38</v>
      </c>
      <c r="B4" s="910"/>
      <c r="C4" s="910"/>
      <c r="D4" s="910"/>
      <c r="E4" s="910"/>
      <c r="F4" s="910"/>
      <c r="G4" s="910"/>
      <c r="H4" s="910"/>
      <c r="I4" s="910"/>
      <c r="J4" s="910"/>
      <c r="K4" s="719"/>
    </row>
    <row r="5" spans="1:14" s="51" customFormat="1" x14ac:dyDescent="0.3">
      <c r="A5" s="903" t="s">
        <v>116</v>
      </c>
      <c r="B5" s="903"/>
      <c r="C5" s="903"/>
      <c r="D5" s="903"/>
      <c r="E5" s="903"/>
      <c r="F5" s="903"/>
      <c r="G5" s="903"/>
      <c r="H5" s="903"/>
      <c r="I5" s="903"/>
      <c r="J5" s="903"/>
      <c r="K5" s="719"/>
    </row>
    <row r="6" spans="1:14" s="51" customFormat="1" x14ac:dyDescent="0.3">
      <c r="A6" s="1095" t="s">
        <v>8</v>
      </c>
      <c r="B6" s="1095"/>
      <c r="C6" s="1095"/>
      <c r="D6" s="1095"/>
      <c r="E6" s="1095"/>
      <c r="F6" s="1095"/>
      <c r="G6" s="1095"/>
      <c r="H6" s="1095"/>
      <c r="I6" s="1095"/>
      <c r="J6" s="1095"/>
      <c r="K6" s="719"/>
      <c r="L6" s="1118" t="s">
        <v>118</v>
      </c>
      <c r="M6" s="1118"/>
      <c r="N6" s="1118"/>
    </row>
    <row r="7" spans="1:14" s="51" customFormat="1" x14ac:dyDescent="0.3">
      <c r="A7" s="719"/>
      <c r="B7" s="719"/>
      <c r="C7" s="719"/>
      <c r="D7" s="719"/>
      <c r="E7" s="719"/>
      <c r="F7" s="719"/>
      <c r="G7" s="719"/>
      <c r="H7" s="719"/>
      <c r="I7" s="725"/>
      <c r="J7" s="725"/>
      <c r="K7" s="719"/>
    </row>
    <row r="8" spans="1:14" s="51" customFormat="1" ht="82.5" customHeight="1" x14ac:dyDescent="0.3">
      <c r="A8" s="826" t="s">
        <v>9</v>
      </c>
      <c r="B8" s="883" t="s">
        <v>10</v>
      </c>
      <c r="C8" s="883"/>
      <c r="D8" s="883"/>
      <c r="E8" s="883"/>
      <c r="F8" s="826" t="s">
        <v>11</v>
      </c>
      <c r="G8" s="883" t="s">
        <v>12</v>
      </c>
      <c r="H8" s="883"/>
      <c r="I8" s="726" t="s">
        <v>31</v>
      </c>
      <c r="J8" s="726" t="s">
        <v>32</v>
      </c>
      <c r="K8" s="719"/>
    </row>
    <row r="9" spans="1:14" s="51" customFormat="1" x14ac:dyDescent="0.3">
      <c r="A9" s="825">
        <v>1</v>
      </c>
      <c r="B9" s="884">
        <v>2</v>
      </c>
      <c r="C9" s="884"/>
      <c r="D9" s="884"/>
      <c r="E9" s="884"/>
      <c r="F9" s="825">
        <v>3</v>
      </c>
      <c r="G9" s="884">
        <v>3</v>
      </c>
      <c r="H9" s="884"/>
      <c r="I9" s="727">
        <v>4</v>
      </c>
      <c r="J9" s="727">
        <v>5</v>
      </c>
      <c r="K9" s="719"/>
    </row>
    <row r="10" spans="1:14" s="51" customFormat="1" ht="50.25" customHeight="1" x14ac:dyDescent="0.3">
      <c r="A10" s="1096" t="s">
        <v>18</v>
      </c>
      <c r="B10" s="1097"/>
      <c r="C10" s="1097"/>
      <c r="D10" s="1097"/>
      <c r="E10" s="1097"/>
      <c r="F10" s="1097"/>
      <c r="G10" s="1097"/>
      <c r="H10" s="1097"/>
      <c r="I10" s="1097"/>
      <c r="J10" s="1098"/>
      <c r="K10" s="719"/>
    </row>
    <row r="11" spans="1:14" s="51" customFormat="1" ht="34.5" customHeight="1" x14ac:dyDescent="0.3">
      <c r="A11" s="895" t="s">
        <v>14</v>
      </c>
      <c r="B11" s="895"/>
      <c r="C11" s="895"/>
      <c r="D11" s="895"/>
      <c r="E11" s="895"/>
      <c r="F11" s="895"/>
      <c r="G11" s="895"/>
      <c r="H11" s="895"/>
      <c r="I11" s="895"/>
      <c r="J11" s="728"/>
      <c r="K11" s="719"/>
    </row>
    <row r="12" spans="1:14" s="51" customFormat="1" x14ac:dyDescent="0.3">
      <c r="A12" s="825">
        <v>1</v>
      </c>
      <c r="B12" s="884" t="str">
        <f>ДХШ!B5</f>
        <v xml:space="preserve">преподаватель </v>
      </c>
      <c r="C12" s="884"/>
      <c r="D12" s="884"/>
      <c r="E12" s="884"/>
      <c r="F12" s="825" t="s">
        <v>162</v>
      </c>
      <c r="G12" s="908">
        <f>ДХШ!E5</f>
        <v>53.951999999999998</v>
      </c>
      <c r="H12" s="908"/>
      <c r="I12" s="726">
        <f>J12/G12</f>
        <v>303.72868475682088</v>
      </c>
      <c r="J12" s="728">
        <f>ДХШ!G5</f>
        <v>16386.77</v>
      </c>
      <c r="K12" s="719"/>
    </row>
    <row r="13" spans="1:14" s="51" customFormat="1" x14ac:dyDescent="0.3">
      <c r="A13" s="825"/>
      <c r="B13" s="884" t="s">
        <v>63</v>
      </c>
      <c r="C13" s="884"/>
      <c r="D13" s="884"/>
      <c r="E13" s="884"/>
      <c r="F13" s="825"/>
      <c r="G13" s="884"/>
      <c r="H13" s="884"/>
      <c r="I13" s="726"/>
      <c r="J13" s="728">
        <f>J12</f>
        <v>16386.77</v>
      </c>
      <c r="K13" s="719"/>
    </row>
    <row r="14" spans="1:14" s="51" customFormat="1" ht="68.25" customHeight="1" x14ac:dyDescent="0.3">
      <c r="A14" s="1102" t="s">
        <v>15</v>
      </c>
      <c r="B14" s="1103"/>
      <c r="C14" s="1103"/>
      <c r="D14" s="1103"/>
      <c r="E14" s="1103"/>
      <c r="F14" s="1103"/>
      <c r="G14" s="1103"/>
      <c r="H14" s="1103"/>
      <c r="I14" s="1103"/>
      <c r="J14" s="1104"/>
      <c r="K14" s="719"/>
    </row>
    <row r="15" spans="1:14" s="51" customFormat="1" x14ac:dyDescent="0.3">
      <c r="A15" s="825">
        <v>1</v>
      </c>
      <c r="B15" s="885" t="str">
        <f>'ДХШ 2'!A4</f>
        <v>художественная гуашь</v>
      </c>
      <c r="C15" s="885"/>
      <c r="D15" s="885"/>
      <c r="E15" s="885"/>
      <c r="F15" s="825" t="str">
        <f>'ДХШ 2'!L4</f>
        <v>уп.</v>
      </c>
      <c r="G15" s="908">
        <f>'ДХШ 2'!C4</f>
        <v>1</v>
      </c>
      <c r="H15" s="908"/>
      <c r="I15" s="726">
        <f>J15/G15</f>
        <v>600</v>
      </c>
      <c r="J15" s="728">
        <f>'ДХШ 2'!E4</f>
        <v>600</v>
      </c>
      <c r="K15" s="719"/>
    </row>
    <row r="16" spans="1:14" s="51" customFormat="1" x14ac:dyDescent="0.3">
      <c r="A16" s="825">
        <v>2</v>
      </c>
      <c r="B16" s="885" t="str">
        <f>'ДХШ 2'!A5</f>
        <v>акварельные краски</v>
      </c>
      <c r="C16" s="885"/>
      <c r="D16" s="885"/>
      <c r="E16" s="885"/>
      <c r="F16" s="825" t="str">
        <f>'ДХШ 2'!L5</f>
        <v>уп.</v>
      </c>
      <c r="G16" s="908">
        <f>'ДХШ 2'!C5</f>
        <v>1</v>
      </c>
      <c r="H16" s="908"/>
      <c r="I16" s="726">
        <f t="shared" ref="I16:I24" si="0">J16/G16</f>
        <v>600</v>
      </c>
      <c r="J16" s="728">
        <f>'ДХШ 2'!E5</f>
        <v>600</v>
      </c>
      <c r="K16" s="719"/>
    </row>
    <row r="17" spans="1:11" s="51" customFormat="1" x14ac:dyDescent="0.3">
      <c r="A17" s="825">
        <v>3</v>
      </c>
      <c r="B17" s="885" t="str">
        <f>'ДХШ 2'!A6</f>
        <v>кисти</v>
      </c>
      <c r="C17" s="885"/>
      <c r="D17" s="885"/>
      <c r="E17" s="885"/>
      <c r="F17" s="825" t="str">
        <f>'ДХШ 2'!L6</f>
        <v>шт.</v>
      </c>
      <c r="G17" s="908">
        <f>'ДХШ 2'!C6</f>
        <v>2.976</v>
      </c>
      <c r="H17" s="908"/>
      <c r="I17" s="726">
        <f t="shared" si="0"/>
        <v>50.000000000000007</v>
      </c>
      <c r="J17" s="728">
        <f>'ДХШ 2'!E6</f>
        <v>148.80000000000001</v>
      </c>
      <c r="K17" s="719"/>
    </row>
    <row r="18" spans="1:11" s="51" customFormat="1" x14ac:dyDescent="0.3">
      <c r="A18" s="825">
        <v>4</v>
      </c>
      <c r="B18" s="885" t="str">
        <f>'ДХШ 2'!A7</f>
        <v>учебные пособия</v>
      </c>
      <c r="C18" s="885"/>
      <c r="D18" s="885"/>
      <c r="E18" s="885"/>
      <c r="F18" s="825" t="str">
        <f>'ДХШ 2'!L7</f>
        <v>шт.</v>
      </c>
      <c r="G18" s="908">
        <f>'ДХШ 2'!C7</f>
        <v>0.16</v>
      </c>
      <c r="H18" s="908"/>
      <c r="I18" s="726">
        <f t="shared" si="0"/>
        <v>800</v>
      </c>
      <c r="J18" s="728">
        <f>'ДХШ 2'!E7</f>
        <v>128</v>
      </c>
      <c r="K18" s="719"/>
    </row>
    <row r="19" spans="1:11" s="51" customFormat="1" x14ac:dyDescent="0.3">
      <c r="A19" s="825">
        <v>5</v>
      </c>
      <c r="B19" s="885" t="str">
        <f>'ДХШ 2'!A8</f>
        <v>литература по истории искусств</v>
      </c>
      <c r="C19" s="885"/>
      <c r="D19" s="885"/>
      <c r="E19" s="885"/>
      <c r="F19" s="825" t="str">
        <f>'ДХШ 2'!L8</f>
        <v>шт.</v>
      </c>
      <c r="G19" s="908">
        <f>'ДХШ 2'!C8</f>
        <v>0.16</v>
      </c>
      <c r="H19" s="908"/>
      <c r="I19" s="726">
        <f t="shared" si="0"/>
        <v>800</v>
      </c>
      <c r="J19" s="728">
        <f>'ДХШ 2'!E8</f>
        <v>128</v>
      </c>
      <c r="K19" s="719"/>
    </row>
    <row r="20" spans="1:11" s="51" customFormat="1" x14ac:dyDescent="0.3">
      <c r="A20" s="825">
        <v>6</v>
      </c>
      <c r="B20" s="885" t="str">
        <f>'ДХШ 2'!A9</f>
        <v>карандаши</v>
      </c>
      <c r="C20" s="885"/>
      <c r="D20" s="885"/>
      <c r="E20" s="885"/>
      <c r="F20" s="825" t="str">
        <f>'ДХШ 2'!L9</f>
        <v>шт.</v>
      </c>
      <c r="G20" s="908">
        <f>'ДХШ 2'!C9</f>
        <v>1</v>
      </c>
      <c r="H20" s="908"/>
      <c r="I20" s="726">
        <f t="shared" si="0"/>
        <v>30</v>
      </c>
      <c r="J20" s="728">
        <f>'ДХШ 2'!E9</f>
        <v>30</v>
      </c>
      <c r="K20" s="719"/>
    </row>
    <row r="21" spans="1:11" s="51" customFormat="1" x14ac:dyDescent="0.3">
      <c r="A21" s="825">
        <v>7</v>
      </c>
      <c r="B21" s="885" t="str">
        <f>'ДХШ 2'!A10</f>
        <v>бумага для живописи (А3)</v>
      </c>
      <c r="C21" s="885"/>
      <c r="D21" s="885"/>
      <c r="E21" s="885"/>
      <c r="F21" s="825" t="str">
        <f>'ДХШ 2'!L10</f>
        <v>шт.</v>
      </c>
      <c r="G21" s="908">
        <f>'ДХШ 2'!C10</f>
        <v>4</v>
      </c>
      <c r="H21" s="908"/>
      <c r="I21" s="726">
        <f t="shared" si="0"/>
        <v>30</v>
      </c>
      <c r="J21" s="728">
        <f>'ДХШ 2'!E10</f>
        <v>120</v>
      </c>
      <c r="K21" s="719"/>
    </row>
    <row r="22" spans="1:11" s="51" customFormat="1" x14ac:dyDescent="0.3">
      <c r="A22" s="825">
        <v>8</v>
      </c>
      <c r="B22" s="885" t="str">
        <f>'ДХШ 2'!A11</f>
        <v>ватман ( для рисунка А3)</v>
      </c>
      <c r="C22" s="885"/>
      <c r="D22" s="885"/>
      <c r="E22" s="885"/>
      <c r="F22" s="825" t="str">
        <f>'ДХШ 2'!L11</f>
        <v>шт.</v>
      </c>
      <c r="G22" s="908">
        <f>'ДХШ 2'!C11</f>
        <v>4</v>
      </c>
      <c r="H22" s="908"/>
      <c r="I22" s="726">
        <f t="shared" si="0"/>
        <v>30</v>
      </c>
      <c r="J22" s="728">
        <f>'ДХШ 2'!E11</f>
        <v>120</v>
      </c>
      <c r="K22" s="719"/>
    </row>
    <row r="23" spans="1:11" s="51" customFormat="1" x14ac:dyDescent="0.3">
      <c r="A23" s="825">
        <v>9</v>
      </c>
      <c r="B23" s="885" t="str">
        <f>'ДХШ 2'!A12</f>
        <v>клей ПВА</v>
      </c>
      <c r="C23" s="885"/>
      <c r="D23" s="885"/>
      <c r="E23" s="885"/>
      <c r="F23" s="825" t="str">
        <f>'ДХШ 2'!L12</f>
        <v>шт.</v>
      </c>
      <c r="G23" s="908">
        <f>'ДХШ 2'!C12</f>
        <v>0.4</v>
      </c>
      <c r="H23" s="908"/>
      <c r="I23" s="726">
        <f t="shared" si="0"/>
        <v>40</v>
      </c>
      <c r="J23" s="728">
        <f>'ДХШ 2'!E12</f>
        <v>16</v>
      </c>
      <c r="K23" s="719"/>
    </row>
    <row r="24" spans="1:11" s="51" customFormat="1" ht="18.75" customHeight="1" x14ac:dyDescent="0.3">
      <c r="A24" s="825">
        <v>10</v>
      </c>
      <c r="B24" s="885" t="str">
        <f>'ДХШ 2'!A13</f>
        <v>ножницы</v>
      </c>
      <c r="C24" s="885"/>
      <c r="D24" s="885"/>
      <c r="E24" s="885"/>
      <c r="F24" s="825" t="str">
        <f>'ДХШ 2'!L13</f>
        <v>шт.</v>
      </c>
      <c r="G24" s="908">
        <f>'ДХШ 2'!C13</f>
        <v>0.08</v>
      </c>
      <c r="H24" s="908"/>
      <c r="I24" s="726">
        <f t="shared" si="0"/>
        <v>100</v>
      </c>
      <c r="J24" s="728">
        <f>'ДХШ 2'!E13</f>
        <v>8</v>
      </c>
      <c r="K24" s="719"/>
    </row>
    <row r="25" spans="1:11" s="51" customFormat="1" ht="18.75" customHeight="1" x14ac:dyDescent="0.3">
      <c r="A25" s="884" t="s">
        <v>63</v>
      </c>
      <c r="B25" s="884"/>
      <c r="C25" s="884"/>
      <c r="D25" s="884"/>
      <c r="E25" s="884"/>
      <c r="F25" s="884"/>
      <c r="G25" s="884"/>
      <c r="H25" s="884"/>
      <c r="I25" s="884"/>
      <c r="J25" s="729">
        <f>J15+J16+J17+J18+J19+J20+J21+J22+J23+J24</f>
        <v>1898.8</v>
      </c>
      <c r="K25" s="719"/>
    </row>
    <row r="26" spans="1:11" s="51" customFormat="1" ht="70.5" customHeight="1" x14ac:dyDescent="0.3">
      <c r="A26" s="1102" t="s">
        <v>16</v>
      </c>
      <c r="B26" s="1103"/>
      <c r="C26" s="1103"/>
      <c r="D26" s="1103"/>
      <c r="E26" s="1103"/>
      <c r="F26" s="1103"/>
      <c r="G26" s="1103"/>
      <c r="H26" s="1103"/>
      <c r="I26" s="1103"/>
      <c r="J26" s="1104"/>
      <c r="K26" s="719"/>
    </row>
    <row r="27" spans="1:11" s="51" customFormat="1" x14ac:dyDescent="0.3">
      <c r="A27" s="825"/>
      <c r="B27" s="884"/>
      <c r="C27" s="884"/>
      <c r="D27" s="884"/>
      <c r="E27" s="884"/>
      <c r="F27" s="825"/>
      <c r="G27" s="884"/>
      <c r="H27" s="884"/>
      <c r="I27" s="726"/>
      <c r="J27" s="728"/>
      <c r="K27" s="719"/>
    </row>
    <row r="28" spans="1:11" s="51" customFormat="1" x14ac:dyDescent="0.3">
      <c r="A28" s="825"/>
      <c r="B28" s="884"/>
      <c r="C28" s="884"/>
      <c r="D28" s="884"/>
      <c r="E28" s="884"/>
      <c r="F28" s="825"/>
      <c r="G28" s="884"/>
      <c r="H28" s="884"/>
      <c r="I28" s="726"/>
      <c r="J28" s="728"/>
      <c r="K28" s="719"/>
    </row>
    <row r="29" spans="1:11" s="51" customFormat="1" ht="29.25" customHeight="1" x14ac:dyDescent="0.3">
      <c r="A29" s="1096" t="s">
        <v>17</v>
      </c>
      <c r="B29" s="1097"/>
      <c r="C29" s="1097"/>
      <c r="D29" s="1097"/>
      <c r="E29" s="1097"/>
      <c r="F29" s="1097"/>
      <c r="G29" s="1097"/>
      <c r="H29" s="1097"/>
      <c r="I29" s="1097"/>
      <c r="J29" s="1098"/>
      <c r="K29" s="719"/>
    </row>
    <row r="30" spans="1:11" s="51" customFormat="1" ht="43.5" customHeight="1" x14ac:dyDescent="0.3">
      <c r="A30" s="1102" t="s">
        <v>19</v>
      </c>
      <c r="B30" s="1103"/>
      <c r="C30" s="1103"/>
      <c r="D30" s="1103"/>
      <c r="E30" s="1103"/>
      <c r="F30" s="1103"/>
      <c r="G30" s="1103"/>
      <c r="H30" s="1103"/>
      <c r="I30" s="1103"/>
      <c r="J30" s="1104"/>
      <c r="K30" s="719"/>
    </row>
    <row r="31" spans="1:11" s="51" customFormat="1" ht="33.75" customHeight="1" x14ac:dyDescent="0.3">
      <c r="A31" s="825">
        <v>1</v>
      </c>
      <c r="B31" s="885" t="str">
        <f>'ДХШ 3'!A26</f>
        <v>Административно-управленческий персонал</v>
      </c>
      <c r="C31" s="885"/>
      <c r="D31" s="885"/>
      <c r="E31" s="885"/>
      <c r="F31" s="825" t="s">
        <v>162</v>
      </c>
      <c r="G31" s="908">
        <f>'ДХШ 3'!C26</f>
        <v>87.61</v>
      </c>
      <c r="H31" s="908"/>
      <c r="I31" s="726">
        <f>J31/G31</f>
        <v>96.052048852870684</v>
      </c>
      <c r="J31" s="728">
        <f>'ДХШ 3'!E26</f>
        <v>8415.1200000000008</v>
      </c>
      <c r="K31" s="719"/>
    </row>
    <row r="32" spans="1:11" s="51" customFormat="1" ht="39" customHeight="1" x14ac:dyDescent="0.3">
      <c r="A32" s="825">
        <v>2</v>
      </c>
      <c r="B32" s="885" t="str">
        <f>'ДХШ 3'!A27</f>
        <v>Прочий обслуживающий персонал</v>
      </c>
      <c r="C32" s="885"/>
      <c r="D32" s="885"/>
      <c r="E32" s="885"/>
      <c r="F32" s="825" t="s">
        <v>162</v>
      </c>
      <c r="G32" s="908">
        <f>'ДХШ 3'!C27</f>
        <v>78.72</v>
      </c>
      <c r="H32" s="908"/>
      <c r="I32" s="726">
        <f>J32/G32</f>
        <v>77.742784552845535</v>
      </c>
      <c r="J32" s="728">
        <f>'ДХШ 3'!E27</f>
        <v>6119.9120000000003</v>
      </c>
      <c r="K32" s="719"/>
    </row>
    <row r="33" spans="1:11" s="51" customFormat="1" x14ac:dyDescent="0.3">
      <c r="A33" s="825"/>
      <c r="B33" s="884"/>
      <c r="C33" s="884"/>
      <c r="D33" s="884"/>
      <c r="E33" s="884"/>
      <c r="F33" s="825"/>
      <c r="G33" s="884"/>
      <c r="H33" s="884"/>
      <c r="I33" s="726"/>
      <c r="J33" s="728"/>
      <c r="K33" s="719"/>
    </row>
    <row r="34" spans="1:11" s="51" customFormat="1" x14ac:dyDescent="0.3">
      <c r="A34" s="825"/>
      <c r="B34" s="884" t="s">
        <v>63</v>
      </c>
      <c r="C34" s="884"/>
      <c r="D34" s="884"/>
      <c r="E34" s="884"/>
      <c r="F34" s="825"/>
      <c r="G34" s="884"/>
      <c r="H34" s="884"/>
      <c r="I34" s="726"/>
      <c r="J34" s="728">
        <f>J31+J32</f>
        <v>14535.032000000001</v>
      </c>
      <c r="K34" s="719"/>
    </row>
    <row r="35" spans="1:11" s="51" customFormat="1" ht="18.75" customHeight="1" x14ac:dyDescent="0.3">
      <c r="A35" s="1102" t="s">
        <v>20</v>
      </c>
      <c r="B35" s="1103"/>
      <c r="C35" s="1103"/>
      <c r="D35" s="1103"/>
      <c r="E35" s="1103"/>
      <c r="F35" s="1103"/>
      <c r="G35" s="1103"/>
      <c r="H35" s="1103"/>
      <c r="I35" s="1103"/>
      <c r="J35" s="1104"/>
      <c r="K35" s="719"/>
    </row>
    <row r="36" spans="1:11" s="51" customFormat="1" ht="30" customHeight="1" x14ac:dyDescent="0.3">
      <c r="A36" s="825">
        <v>1</v>
      </c>
      <c r="B36" s="885" t="str">
        <f>'ДХШ 3'!A6</f>
        <v>оплата потребления газа</v>
      </c>
      <c r="C36" s="885"/>
      <c r="D36" s="885"/>
      <c r="E36" s="885"/>
      <c r="F36" s="825" t="str">
        <f>'ДХШ 3'!D6</f>
        <v>м. куб</v>
      </c>
      <c r="G36" s="908">
        <f>'ДХШ 3'!C6</f>
        <v>6.2799999999999995E-2</v>
      </c>
      <c r="H36" s="908"/>
      <c r="I36" s="726">
        <f>J36/G36</f>
        <v>7643.3121019108285</v>
      </c>
      <c r="J36" s="728">
        <f>'ДХШ 3'!E6</f>
        <v>480</v>
      </c>
      <c r="K36" s="719"/>
    </row>
    <row r="37" spans="1:11" s="51" customFormat="1" ht="36.75" customHeight="1" x14ac:dyDescent="0.3">
      <c r="A37" s="825">
        <v>2</v>
      </c>
      <c r="B37" s="885" t="str">
        <f>'ДХШ 3'!A7</f>
        <v>оплата потребления электрической энергии</v>
      </c>
      <c r="C37" s="885"/>
      <c r="D37" s="885"/>
      <c r="E37" s="885"/>
      <c r="F37" s="825" t="str">
        <f>'ДХШ 3'!D7</f>
        <v>Квт/ч</v>
      </c>
      <c r="G37" s="908">
        <f>'ДХШ 3'!C7</f>
        <v>65.12</v>
      </c>
      <c r="H37" s="908"/>
      <c r="I37" s="726">
        <f t="shared" ref="I37:I38" si="1">J37/G37</f>
        <v>8.5995085995085994</v>
      </c>
      <c r="J37" s="728">
        <f>'ДХШ 3'!E7</f>
        <v>560</v>
      </c>
      <c r="K37" s="719"/>
    </row>
    <row r="38" spans="1:11" s="51" customFormat="1" ht="34.5" customHeight="1" x14ac:dyDescent="0.3">
      <c r="A38" s="825">
        <v>3</v>
      </c>
      <c r="B38" s="885" t="str">
        <f>'ДХШ 3'!A8</f>
        <v>оплата потребления водоснабжения</v>
      </c>
      <c r="C38" s="885"/>
      <c r="D38" s="885"/>
      <c r="E38" s="885"/>
      <c r="F38" s="825" t="str">
        <f>'ДХШ 3'!D8</f>
        <v>м. куб</v>
      </c>
      <c r="G38" s="908">
        <f>'ДХШ 3'!C8</f>
        <v>0.96</v>
      </c>
      <c r="H38" s="908"/>
      <c r="I38" s="726">
        <f t="shared" si="1"/>
        <v>66.666666666666671</v>
      </c>
      <c r="J38" s="728">
        <f>'ДХШ 3'!E8</f>
        <v>64</v>
      </c>
      <c r="K38" s="719"/>
    </row>
    <row r="39" spans="1:11" s="51" customFormat="1" x14ac:dyDescent="0.3">
      <c r="A39" s="825"/>
      <c r="B39" s="884" t="s">
        <v>63</v>
      </c>
      <c r="C39" s="884"/>
      <c r="D39" s="884"/>
      <c r="E39" s="884"/>
      <c r="F39" s="825"/>
      <c r="G39" s="884"/>
      <c r="H39" s="884"/>
      <c r="I39" s="726"/>
      <c r="J39" s="728">
        <f>J36+J37+J38</f>
        <v>1104</v>
      </c>
      <c r="K39" s="719"/>
    </row>
    <row r="40" spans="1:11" s="51" customFormat="1" ht="52.5" customHeight="1" x14ac:dyDescent="0.3">
      <c r="A40" s="1096" t="s">
        <v>21</v>
      </c>
      <c r="B40" s="1097"/>
      <c r="C40" s="1097"/>
      <c r="D40" s="1097"/>
      <c r="E40" s="1097"/>
      <c r="F40" s="1097"/>
      <c r="G40" s="1097"/>
      <c r="H40" s="1097"/>
      <c r="I40" s="1097"/>
      <c r="J40" s="1098"/>
      <c r="K40" s="719"/>
    </row>
    <row r="41" spans="1:11" s="51" customFormat="1" ht="115.5" customHeight="1" x14ac:dyDescent="0.3">
      <c r="A41" s="825">
        <v>1</v>
      </c>
      <c r="B41" s="885" t="str">
        <f>'ДХШ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41" s="885"/>
      <c r="D41" s="885"/>
      <c r="E41" s="885"/>
      <c r="F41" s="825" t="str">
        <f>'ДХШ 3'!D11</f>
        <v>договор</v>
      </c>
      <c r="G41" s="908">
        <f>'ДХШ 3'!C11</f>
        <v>3.2000000000000001E-2</v>
      </c>
      <c r="H41" s="908"/>
      <c r="I41" s="726">
        <f>J41/G41</f>
        <v>8750</v>
      </c>
      <c r="J41" s="728">
        <f>'ДХШ 3'!E11</f>
        <v>280</v>
      </c>
      <c r="K41" s="719"/>
    </row>
    <row r="42" spans="1:11" s="51" customFormat="1" ht="36" customHeight="1" x14ac:dyDescent="0.3">
      <c r="A42" s="825">
        <v>2</v>
      </c>
      <c r="B42" s="885" t="str">
        <f>'ДХШ 3'!A12</f>
        <v>Реагирование на соообщения о срабатывании тревожной сигнализации</v>
      </c>
      <c r="C42" s="885"/>
      <c r="D42" s="885"/>
      <c r="E42" s="885"/>
      <c r="F42" s="825" t="str">
        <f>'ДХШ 3'!D12</f>
        <v>договор</v>
      </c>
      <c r="G42" s="908">
        <f>'ДХШ 3'!C12</f>
        <v>8.0000000000000002E-3</v>
      </c>
      <c r="H42" s="908"/>
      <c r="I42" s="726">
        <f t="shared" ref="I42:I44" si="2">J42/G42</f>
        <v>60000</v>
      </c>
      <c r="J42" s="728">
        <f>'ДХШ 3'!E12</f>
        <v>480</v>
      </c>
      <c r="K42" s="719"/>
    </row>
    <row r="43" spans="1:11" s="51" customFormat="1" ht="39.75" customHeight="1" x14ac:dyDescent="0.3">
      <c r="A43" s="825">
        <v>3</v>
      </c>
      <c r="B43" s="885" t="str">
        <f>'ДХШ 3'!A13</f>
        <v>Тех обслуживание сети газораспределения</v>
      </c>
      <c r="C43" s="885"/>
      <c r="D43" s="885"/>
      <c r="E43" s="885"/>
      <c r="F43" s="825" t="str">
        <f>'ДХШ 3'!D13</f>
        <v>договор</v>
      </c>
      <c r="G43" s="908">
        <f>'ДХШ 3'!C13</f>
        <v>8.0000000000000002E-3</v>
      </c>
      <c r="H43" s="908"/>
      <c r="I43" s="726">
        <f t="shared" si="2"/>
        <v>33600</v>
      </c>
      <c r="J43" s="728">
        <f>'ДХШ 3'!E13</f>
        <v>268.8</v>
      </c>
      <c r="K43" s="719"/>
    </row>
    <row r="44" spans="1:11" s="51" customFormat="1" ht="36.75" customHeight="1" x14ac:dyDescent="0.3">
      <c r="A44" s="825">
        <v>4</v>
      </c>
      <c r="B44" s="885" t="str">
        <f>'ДХШ 3'!A14</f>
        <v>Вывоз твердых бытовых отходов, утилизация отходов</v>
      </c>
      <c r="C44" s="885"/>
      <c r="D44" s="885"/>
      <c r="E44" s="885"/>
      <c r="F44" s="825" t="str">
        <f>'ДХШ 3'!D14</f>
        <v>договор</v>
      </c>
      <c r="G44" s="908">
        <f>'ДХШ 3'!C14</f>
        <v>8.0000000000000002E-3</v>
      </c>
      <c r="H44" s="908"/>
      <c r="I44" s="726">
        <f t="shared" si="2"/>
        <v>5045</v>
      </c>
      <c r="J44" s="728">
        <f>'ДХШ 3'!E14</f>
        <v>40.36</v>
      </c>
      <c r="K44" s="719"/>
    </row>
    <row r="45" spans="1:11" s="51" customFormat="1" ht="24" customHeight="1" x14ac:dyDescent="0.3">
      <c r="A45" s="825"/>
      <c r="B45" s="885"/>
      <c r="C45" s="885"/>
      <c r="D45" s="885"/>
      <c r="E45" s="885"/>
      <c r="F45" s="825"/>
      <c r="G45" s="884"/>
      <c r="H45" s="884"/>
      <c r="I45" s="726"/>
      <c r="J45" s="728"/>
      <c r="K45" s="719"/>
    </row>
    <row r="46" spans="1:11" s="51" customFormat="1" x14ac:dyDescent="0.3">
      <c r="A46" s="825"/>
      <c r="B46" s="884"/>
      <c r="C46" s="884"/>
      <c r="D46" s="884"/>
      <c r="E46" s="884"/>
      <c r="F46" s="825"/>
      <c r="G46" s="884"/>
      <c r="H46" s="884"/>
      <c r="I46" s="726"/>
      <c r="J46" s="728"/>
      <c r="K46" s="719"/>
    </row>
    <row r="47" spans="1:11" s="51" customFormat="1" x14ac:dyDescent="0.3">
      <c r="A47" s="825"/>
      <c r="B47" s="884" t="s">
        <v>63</v>
      </c>
      <c r="C47" s="884"/>
      <c r="D47" s="884"/>
      <c r="E47" s="884"/>
      <c r="F47" s="825"/>
      <c r="G47" s="884"/>
      <c r="H47" s="884"/>
      <c r="I47" s="726"/>
      <c r="J47" s="728">
        <f>J41+J42+J43+J44</f>
        <v>1069.1599999999999</v>
      </c>
      <c r="K47" s="719"/>
    </row>
    <row r="48" spans="1:11" s="51" customFormat="1" ht="18.75" customHeight="1" x14ac:dyDescent="0.3">
      <c r="A48" s="1102" t="s">
        <v>22</v>
      </c>
      <c r="B48" s="1103"/>
      <c r="C48" s="1103"/>
      <c r="D48" s="1103"/>
      <c r="E48" s="1103"/>
      <c r="F48" s="1103"/>
      <c r="G48" s="1103"/>
      <c r="H48" s="1103"/>
      <c r="I48" s="1103"/>
      <c r="J48" s="1104"/>
      <c r="K48" s="719"/>
    </row>
    <row r="49" spans="1:11" s="51" customFormat="1" x14ac:dyDescent="0.3">
      <c r="A49" s="825"/>
      <c r="B49" s="884"/>
      <c r="C49" s="884"/>
      <c r="D49" s="884"/>
      <c r="E49" s="884"/>
      <c r="F49" s="825"/>
      <c r="G49" s="884"/>
      <c r="H49" s="884"/>
      <c r="I49" s="726"/>
      <c r="J49" s="728"/>
      <c r="K49" s="719"/>
    </row>
    <row r="50" spans="1:11" s="51" customFormat="1" x14ac:dyDescent="0.3">
      <c r="A50" s="825">
        <v>1</v>
      </c>
      <c r="B50" s="885" t="str">
        <f>'ДХШ 3'!A22</f>
        <v>интернет</v>
      </c>
      <c r="C50" s="885"/>
      <c r="D50" s="885"/>
      <c r="E50" s="885"/>
      <c r="F50" s="825" t="str">
        <f>'ДХШ 3'!D22</f>
        <v>Гб</v>
      </c>
      <c r="G50" s="908">
        <f>'ДХШ 3'!C22</f>
        <v>8</v>
      </c>
      <c r="H50" s="908"/>
      <c r="I50" s="726">
        <f>J50/G50</f>
        <v>30</v>
      </c>
      <c r="J50" s="728">
        <f>'ДХШ 3'!E22</f>
        <v>240</v>
      </c>
      <c r="K50" s="719"/>
    </row>
    <row r="51" spans="1:11" s="51" customFormat="1" x14ac:dyDescent="0.3">
      <c r="A51" s="825">
        <v>2</v>
      </c>
      <c r="B51" s="885" t="str">
        <f>'ДХШ 3'!A23</f>
        <v>услуги связи</v>
      </c>
      <c r="C51" s="885"/>
      <c r="D51" s="885"/>
      <c r="E51" s="885"/>
      <c r="F51" s="825" t="str">
        <f>'ДХШ 3'!D23</f>
        <v>мин.</v>
      </c>
      <c r="G51" s="908">
        <f>'ДХШ 3'!C23</f>
        <v>16</v>
      </c>
      <c r="H51" s="908"/>
      <c r="I51" s="726">
        <f>J51/G51</f>
        <v>10</v>
      </c>
      <c r="J51" s="728">
        <f>'ДХШ 3'!E23</f>
        <v>160</v>
      </c>
      <c r="K51" s="719"/>
    </row>
    <row r="52" spans="1:11" s="51" customFormat="1" x14ac:dyDescent="0.3">
      <c r="A52" s="825"/>
      <c r="B52" s="884" t="s">
        <v>63</v>
      </c>
      <c r="C52" s="884"/>
      <c r="D52" s="884"/>
      <c r="E52" s="884"/>
      <c r="F52" s="825"/>
      <c r="G52" s="884"/>
      <c r="H52" s="884"/>
      <c r="I52" s="726"/>
      <c r="J52" s="728">
        <f>J50+J51</f>
        <v>400</v>
      </c>
      <c r="K52" s="719"/>
    </row>
    <row r="53" spans="1:11" s="51" customFormat="1" ht="18.75" customHeight="1" x14ac:dyDescent="0.3">
      <c r="A53" s="1102" t="s">
        <v>23</v>
      </c>
      <c r="B53" s="1103"/>
      <c r="C53" s="1103"/>
      <c r="D53" s="1103"/>
      <c r="E53" s="1103"/>
      <c r="F53" s="1103"/>
      <c r="G53" s="1103"/>
      <c r="H53" s="1103"/>
      <c r="I53" s="1103"/>
      <c r="J53" s="1104"/>
      <c r="K53" s="719"/>
    </row>
    <row r="54" spans="1:11" s="51" customFormat="1" ht="32.25" customHeight="1" x14ac:dyDescent="0.3">
      <c r="A54" s="825">
        <v>1</v>
      </c>
      <c r="B54" s="885" t="str">
        <f>'ДХШ 3'!A30</f>
        <v>Медицинский осмотр</v>
      </c>
      <c r="C54" s="885"/>
      <c r="D54" s="885"/>
      <c r="E54" s="885"/>
      <c r="F54" s="825" t="str">
        <f>'ДХШ 3'!D30</f>
        <v>договор</v>
      </c>
      <c r="G54" s="908">
        <f>'ДХШ 3'!C30</f>
        <v>8.0000000000000002E-3</v>
      </c>
      <c r="H54" s="908"/>
      <c r="I54" s="726">
        <f>J54/G54</f>
        <v>3240</v>
      </c>
      <c r="J54" s="728">
        <f>'ДХШ 3'!E30</f>
        <v>25.92</v>
      </c>
      <c r="K54" s="719"/>
    </row>
    <row r="55" spans="1:11" s="51" customFormat="1" ht="37.5" customHeight="1" x14ac:dyDescent="0.3">
      <c r="A55" s="825">
        <v>2</v>
      </c>
      <c r="B55" s="885" t="str">
        <f>'ДХШ 3'!A31</f>
        <v>Производственный контроль, аккарицидная обработка, дератизация, дезинфекция и пр. санитарно-гигиенические меропориятия</v>
      </c>
      <c r="C55" s="885"/>
      <c r="D55" s="885"/>
      <c r="E55" s="885"/>
      <c r="F55" s="825" t="str">
        <f>'ДХШ 3'!D31</f>
        <v>договор</v>
      </c>
      <c r="G55" s="908">
        <f>'ДХШ 3'!C31</f>
        <v>8.0000000000000002E-3</v>
      </c>
      <c r="H55" s="908"/>
      <c r="I55" s="726">
        <f t="shared" ref="I55:I60" si="3">J55/G55</f>
        <v>12000</v>
      </c>
      <c r="J55" s="728">
        <f>'ДХШ 3'!E31</f>
        <v>96</v>
      </c>
      <c r="K55" s="719"/>
    </row>
    <row r="56" spans="1:11" s="51" customFormat="1" ht="57" customHeight="1" x14ac:dyDescent="0.3">
      <c r="A56" s="825">
        <v>3</v>
      </c>
      <c r="B56" s="885" t="str">
        <f>'ДХШ 3'!A32</f>
        <v>Обучение персонала (электро, тепло, газовое хозяйство, пожарная безопасность, охрана труда и др.)</v>
      </c>
      <c r="C56" s="885"/>
      <c r="D56" s="885"/>
      <c r="E56" s="885"/>
      <c r="F56" s="825" t="str">
        <f>'ДХШ 3'!D32</f>
        <v>чел.</v>
      </c>
      <c r="G56" s="908">
        <f>'ДХШ 3'!C32</f>
        <v>0.02</v>
      </c>
      <c r="H56" s="908"/>
      <c r="I56" s="726">
        <f t="shared" si="3"/>
        <v>10000</v>
      </c>
      <c r="J56" s="728">
        <f>'ДХШ 3'!E32</f>
        <v>200</v>
      </c>
      <c r="K56" s="719"/>
    </row>
    <row r="57" spans="1:11" s="51" customFormat="1" ht="45.75" customHeight="1" x14ac:dyDescent="0.3">
      <c r="A57" s="825">
        <v>4</v>
      </c>
      <c r="B57" s="885" t="str">
        <f>'ДХШ 3'!A33</f>
        <v>Обслуживание программных комплексов</v>
      </c>
      <c r="C57" s="885"/>
      <c r="D57" s="885"/>
      <c r="E57" s="885"/>
      <c r="F57" s="825" t="str">
        <f>'ДХШ 3'!D33</f>
        <v>договор</v>
      </c>
      <c r="G57" s="908">
        <f>'ДХШ 3'!C33</f>
        <v>2.4E-2</v>
      </c>
      <c r="H57" s="908"/>
      <c r="I57" s="726">
        <f t="shared" si="3"/>
        <v>3333.3333333333335</v>
      </c>
      <c r="J57" s="728">
        <f>'ДХШ 3'!E33</f>
        <v>80</v>
      </c>
      <c r="K57" s="719"/>
    </row>
    <row r="58" spans="1:11" s="51" customFormat="1" ht="48.75" hidden="1" customHeight="1" x14ac:dyDescent="0.3">
      <c r="A58" s="825">
        <v>5</v>
      </c>
      <c r="B58" s="885" t="str">
        <f>'ДХШ 3'!A34</f>
        <v>Специальная оценка условий труда</v>
      </c>
      <c r="C58" s="885"/>
      <c r="D58" s="885"/>
      <c r="E58" s="885"/>
      <c r="F58" s="825" t="str">
        <f>'ДХШ 3'!D34</f>
        <v>чел.</v>
      </c>
      <c r="G58" s="908">
        <f>'ДХШ 3'!C34</f>
        <v>0</v>
      </c>
      <c r="H58" s="908"/>
      <c r="I58" s="726" t="e">
        <f t="shared" si="3"/>
        <v>#DIV/0!</v>
      </c>
      <c r="J58" s="728"/>
      <c r="K58" s="719"/>
    </row>
    <row r="59" spans="1:11" s="51" customFormat="1" ht="42.75" hidden="1" customHeight="1" x14ac:dyDescent="0.3">
      <c r="A59" s="825">
        <v>6</v>
      </c>
      <c r="B59" s="885" t="str">
        <f>'ДХШ 3'!A35</f>
        <v>Страховое особо опасных объектов</v>
      </c>
      <c r="C59" s="885"/>
      <c r="D59" s="885"/>
      <c r="E59" s="885"/>
      <c r="F59" s="825" t="str">
        <f>'ДХШ 3'!D35</f>
        <v>договор</v>
      </c>
      <c r="G59" s="908">
        <f>'ДХШ 3'!C35</f>
        <v>0</v>
      </c>
      <c r="H59" s="908"/>
      <c r="I59" s="726" t="e">
        <f t="shared" si="3"/>
        <v>#DIV/0!</v>
      </c>
      <c r="J59" s="728"/>
      <c r="K59" s="719"/>
    </row>
    <row r="60" spans="1:11" s="51" customFormat="1" ht="45.75" customHeight="1" x14ac:dyDescent="0.3">
      <c r="A60" s="825">
        <v>5</v>
      </c>
      <c r="B60" s="885" t="str">
        <f>'ДХШ 3'!A36</f>
        <v>Проверка и ремонт измерительных приборов</v>
      </c>
      <c r="C60" s="885"/>
      <c r="D60" s="885"/>
      <c r="E60" s="885"/>
      <c r="F60" s="825" t="str">
        <f>'ДХШ 3'!D36</f>
        <v>договор</v>
      </c>
      <c r="G60" s="908">
        <f>'ДХШ 3'!C36</f>
        <v>1.6E-2</v>
      </c>
      <c r="H60" s="908"/>
      <c r="I60" s="726">
        <f t="shared" si="3"/>
        <v>12500</v>
      </c>
      <c r="J60" s="728">
        <f>'ДХШ 3'!E36</f>
        <v>200</v>
      </c>
      <c r="K60" s="719"/>
    </row>
    <row r="61" spans="1:11" s="51" customFormat="1" ht="25.5" customHeight="1" x14ac:dyDescent="0.3">
      <c r="A61" s="825"/>
      <c r="B61" s="1099" t="s">
        <v>63</v>
      </c>
      <c r="C61" s="1100"/>
      <c r="D61" s="1100"/>
      <c r="E61" s="1100"/>
      <c r="F61" s="1100"/>
      <c r="G61" s="1100"/>
      <c r="H61" s="1100"/>
      <c r="I61" s="1101"/>
      <c r="J61" s="728">
        <f>J54+J55+J56+J57+J60</f>
        <v>601.92000000000007</v>
      </c>
      <c r="K61" s="719"/>
    </row>
    <row r="62" spans="1:11" s="51" customFormat="1" ht="22.5" customHeight="1" x14ac:dyDescent="0.3">
      <c r="A62" s="720"/>
      <c r="B62" s="1102" t="s">
        <v>69</v>
      </c>
      <c r="C62" s="1103"/>
      <c r="D62" s="1103"/>
      <c r="E62" s="1103"/>
      <c r="F62" s="1103"/>
      <c r="G62" s="1103"/>
      <c r="H62" s="1103"/>
      <c r="I62" s="1104"/>
      <c r="J62" s="728">
        <f>J12+J15+J16+J17+J18+J19+J20+J21+J22+J23+J24+J31+J32+J36+J37+J38+J41+J42+J43+J44+J45+J50+J51+J54+J55+J56+J57+J60</f>
        <v>35995.682000000001</v>
      </c>
      <c r="K62" s="725">
        <f>J62*125</f>
        <v>4499460.25</v>
      </c>
    </row>
    <row r="63" spans="1:11" s="51" customFormat="1" x14ac:dyDescent="0.3">
      <c r="A63" s="730"/>
      <c r="B63" s="730"/>
      <c r="C63" s="730"/>
      <c r="D63" s="730"/>
      <c r="E63" s="730"/>
      <c r="F63" s="730"/>
      <c r="G63" s="730"/>
      <c r="H63" s="730"/>
      <c r="I63" s="731"/>
      <c r="J63" s="731"/>
      <c r="K63" s="719"/>
    </row>
    <row r="64" spans="1:11" s="51" customFormat="1" x14ac:dyDescent="0.3">
      <c r="A64" s="901"/>
      <c r="B64" s="901"/>
      <c r="C64" s="901"/>
      <c r="D64" s="901"/>
      <c r="E64" s="901"/>
      <c r="F64" s="901"/>
      <c r="G64" s="901"/>
      <c r="H64" s="901"/>
      <c r="I64" s="901"/>
      <c r="J64" s="901"/>
      <c r="K64" s="719"/>
    </row>
    <row r="65" spans="1:14" s="51" customFormat="1" x14ac:dyDescent="0.3">
      <c r="A65" s="901" t="s">
        <v>30</v>
      </c>
      <c r="B65" s="901"/>
      <c r="C65" s="901"/>
      <c r="D65" s="901"/>
      <c r="E65" s="901"/>
      <c r="F65" s="901"/>
      <c r="G65" s="901"/>
      <c r="H65" s="901"/>
      <c r="I65" s="901"/>
      <c r="J65" s="901"/>
      <c r="K65" s="719"/>
    </row>
    <row r="66" spans="1:14" s="51" customFormat="1" x14ac:dyDescent="0.3">
      <c r="A66" s="910" t="s">
        <v>38</v>
      </c>
      <c r="B66" s="910"/>
      <c r="C66" s="910"/>
      <c r="D66" s="910"/>
      <c r="E66" s="910"/>
      <c r="F66" s="910"/>
      <c r="G66" s="910"/>
      <c r="H66" s="910"/>
      <c r="I66" s="910"/>
      <c r="J66" s="910"/>
      <c r="K66" s="719"/>
    </row>
    <row r="67" spans="1:14" s="51" customFormat="1" ht="43.5" customHeight="1" x14ac:dyDescent="0.3">
      <c r="A67" s="1105" t="s">
        <v>288</v>
      </c>
      <c r="B67" s="1105"/>
      <c r="C67" s="1105"/>
      <c r="D67" s="1105"/>
      <c r="E67" s="1105"/>
      <c r="F67" s="1105"/>
      <c r="G67" s="1105"/>
      <c r="H67" s="1105"/>
      <c r="I67" s="1105"/>
      <c r="J67" s="1105"/>
      <c r="K67" s="719"/>
    </row>
    <row r="68" spans="1:14" s="51" customFormat="1" ht="23.25" customHeight="1" x14ac:dyDescent="0.3">
      <c r="A68" s="1095" t="s">
        <v>289</v>
      </c>
      <c r="B68" s="1095"/>
      <c r="C68" s="1095"/>
      <c r="D68" s="1095"/>
      <c r="E68" s="1095"/>
      <c r="F68" s="1095"/>
      <c r="G68" s="1095"/>
      <c r="H68" s="1095"/>
      <c r="I68" s="1095"/>
      <c r="J68" s="1095"/>
      <c r="K68" s="719"/>
    </row>
    <row r="69" spans="1:14" s="51" customFormat="1" x14ac:dyDescent="0.3">
      <c r="A69" s="719"/>
      <c r="B69" s="719"/>
      <c r="C69" s="719"/>
      <c r="D69" s="719"/>
      <c r="E69" s="719"/>
      <c r="F69" s="719"/>
      <c r="G69" s="719"/>
      <c r="H69" s="719"/>
      <c r="I69" s="725"/>
      <c r="J69" s="725"/>
      <c r="K69" s="719"/>
      <c r="L69" s="1118" t="s">
        <v>119</v>
      </c>
      <c r="M69" s="1118"/>
      <c r="N69" s="1118"/>
    </row>
    <row r="70" spans="1:14" s="51" customFormat="1" ht="75" x14ac:dyDescent="0.3">
      <c r="A70" s="826" t="s">
        <v>9</v>
      </c>
      <c r="B70" s="883" t="s">
        <v>10</v>
      </c>
      <c r="C70" s="883"/>
      <c r="D70" s="883"/>
      <c r="E70" s="883"/>
      <c r="F70" s="826" t="s">
        <v>11</v>
      </c>
      <c r="G70" s="883" t="s">
        <v>12</v>
      </c>
      <c r="H70" s="883"/>
      <c r="I70" s="726" t="s">
        <v>31</v>
      </c>
      <c r="J70" s="726" t="s">
        <v>32</v>
      </c>
      <c r="K70" s="719"/>
    </row>
    <row r="71" spans="1:14" s="51" customFormat="1" ht="24" customHeight="1" x14ac:dyDescent="0.3">
      <c r="A71" s="825">
        <v>1</v>
      </c>
      <c r="B71" s="884">
        <v>2</v>
      </c>
      <c r="C71" s="884"/>
      <c r="D71" s="884"/>
      <c r="E71" s="884"/>
      <c r="F71" s="825">
        <v>3</v>
      </c>
      <c r="G71" s="884">
        <v>3</v>
      </c>
      <c r="H71" s="884"/>
      <c r="I71" s="726">
        <v>4</v>
      </c>
      <c r="J71" s="727">
        <v>5</v>
      </c>
      <c r="K71" s="719"/>
    </row>
    <row r="72" spans="1:14" s="51" customFormat="1" ht="18.75" customHeight="1" x14ac:dyDescent="0.3">
      <c r="A72" s="1096" t="s">
        <v>18</v>
      </c>
      <c r="B72" s="1097"/>
      <c r="C72" s="1097"/>
      <c r="D72" s="1097"/>
      <c r="E72" s="1097"/>
      <c r="F72" s="1097"/>
      <c r="G72" s="1097"/>
      <c r="H72" s="1097"/>
      <c r="I72" s="1097"/>
      <c r="J72" s="1098"/>
      <c r="K72" s="719"/>
    </row>
    <row r="73" spans="1:14" s="51" customFormat="1" ht="18.75" customHeight="1" x14ac:dyDescent="0.3">
      <c r="A73" s="1102" t="s">
        <v>14</v>
      </c>
      <c r="B73" s="1103"/>
      <c r="C73" s="1103"/>
      <c r="D73" s="1103"/>
      <c r="E73" s="1103"/>
      <c r="F73" s="1103"/>
      <c r="G73" s="1103"/>
      <c r="H73" s="1103"/>
      <c r="I73" s="1103"/>
      <c r="J73" s="1104"/>
      <c r="K73" s="719"/>
    </row>
    <row r="74" spans="1:14" s="51" customFormat="1" x14ac:dyDescent="0.3">
      <c r="A74" s="825">
        <v>1</v>
      </c>
      <c r="B74" s="885" t="str">
        <f>ДШИ!B5</f>
        <v xml:space="preserve">преподаватель </v>
      </c>
      <c r="C74" s="885"/>
      <c r="D74" s="885"/>
      <c r="E74" s="885"/>
      <c r="F74" s="825" t="s">
        <v>162</v>
      </c>
      <c r="G74" s="908">
        <f>ДШИ!E5</f>
        <v>38.22</v>
      </c>
      <c r="H74" s="908"/>
      <c r="I74" s="726">
        <f>J74/G74</f>
        <v>1012.3432297686616</v>
      </c>
      <c r="J74" s="728">
        <f>ДШИ!G5</f>
        <v>38691.758241758245</v>
      </c>
      <c r="K74" s="719"/>
    </row>
    <row r="75" spans="1:14" s="51" customFormat="1" x14ac:dyDescent="0.3">
      <c r="A75" s="825"/>
      <c r="B75" s="884" t="s">
        <v>63</v>
      </c>
      <c r="C75" s="884"/>
      <c r="D75" s="884"/>
      <c r="E75" s="884"/>
      <c r="F75" s="825"/>
      <c r="G75" s="884"/>
      <c r="H75" s="884"/>
      <c r="I75" s="726"/>
      <c r="J75" s="728">
        <f>J74</f>
        <v>38691.758241758245</v>
      </c>
      <c r="K75" s="719"/>
    </row>
    <row r="76" spans="1:14" s="51" customFormat="1" ht="60.75" customHeight="1" x14ac:dyDescent="0.3">
      <c r="A76" s="1102" t="s">
        <v>15</v>
      </c>
      <c r="B76" s="1103"/>
      <c r="C76" s="1103"/>
      <c r="D76" s="1103"/>
      <c r="E76" s="1103"/>
      <c r="F76" s="1103"/>
      <c r="G76" s="1103"/>
      <c r="H76" s="1103"/>
      <c r="I76" s="1103"/>
      <c r="J76" s="1104"/>
      <c r="K76" s="719"/>
    </row>
    <row r="77" spans="1:14" s="51" customFormat="1" x14ac:dyDescent="0.3">
      <c r="A77" s="825">
        <v>1</v>
      </c>
      <c r="B77" s="885" t="str">
        <f>'ДШИ 2'!A4</f>
        <v>учебники</v>
      </c>
      <c r="C77" s="885"/>
      <c r="D77" s="885"/>
      <c r="E77" s="885"/>
      <c r="F77" s="825" t="str">
        <f>'ДШИ 2'!L4</f>
        <v>шт.</v>
      </c>
      <c r="G77" s="908">
        <f>'ДШИ 2'!C4</f>
        <v>0.06</v>
      </c>
      <c r="H77" s="908"/>
      <c r="I77" s="726">
        <f>J77/G77</f>
        <v>700</v>
      </c>
      <c r="J77" s="728">
        <f>'ДШИ 2'!E4</f>
        <v>42</v>
      </c>
      <c r="K77" s="719"/>
    </row>
    <row r="78" spans="1:14" s="51" customFormat="1" ht="24.75" customHeight="1" x14ac:dyDescent="0.3">
      <c r="A78" s="825">
        <v>2</v>
      </c>
      <c r="B78" s="885" t="str">
        <f>'ДШИ 2'!A5</f>
        <v>учебные таблицы</v>
      </c>
      <c r="C78" s="885"/>
      <c r="D78" s="885"/>
      <c r="E78" s="885"/>
      <c r="F78" s="825" t="str">
        <f>'ДШИ 2'!L5</f>
        <v>шт.</v>
      </c>
      <c r="G78" s="908">
        <f>'ДШИ 2'!C5</f>
        <v>4.0000000000000001E-3</v>
      </c>
      <c r="H78" s="908"/>
      <c r="I78" s="726">
        <f t="shared" ref="I78:I84" si="4">J78/G78</f>
        <v>1399.7252747252746</v>
      </c>
      <c r="J78" s="728">
        <f>'ДШИ 2'!E5</f>
        <v>5.5989010989010985</v>
      </c>
      <c r="K78" s="719"/>
    </row>
    <row r="79" spans="1:14" s="51" customFormat="1" x14ac:dyDescent="0.3">
      <c r="A79" s="825">
        <v>3</v>
      </c>
      <c r="B79" s="885" t="str">
        <f>'ДШИ 2'!A6</f>
        <v>фоно и видеотека</v>
      </c>
      <c r="C79" s="885"/>
      <c r="D79" s="885"/>
      <c r="E79" s="885"/>
      <c r="F79" s="825" t="str">
        <f>'ДШИ 2'!L6</f>
        <v>шт.</v>
      </c>
      <c r="G79" s="908">
        <f>'ДШИ 2'!C6</f>
        <v>5.0000000000000001E-3</v>
      </c>
      <c r="H79" s="908"/>
      <c r="I79" s="726">
        <f t="shared" si="4"/>
        <v>2400</v>
      </c>
      <c r="J79" s="728">
        <f>'ДШИ 2'!E6</f>
        <v>12</v>
      </c>
      <c r="K79" s="719"/>
    </row>
    <row r="80" spans="1:14" s="51" customFormat="1" ht="18.75" customHeight="1" x14ac:dyDescent="0.3">
      <c r="A80" s="825">
        <v>4</v>
      </c>
      <c r="B80" s="885" t="str">
        <f>'ДШИ 2'!A7</f>
        <v>методическая и иная литература</v>
      </c>
      <c r="C80" s="885"/>
      <c r="D80" s="885"/>
      <c r="E80" s="885"/>
      <c r="F80" s="825" t="str">
        <f>'ДШИ 2'!L7</f>
        <v>шт.</v>
      </c>
      <c r="G80" s="908">
        <f>'ДШИ 2'!C7</f>
        <v>1E-3</v>
      </c>
      <c r="H80" s="908"/>
      <c r="I80" s="726">
        <f t="shared" si="4"/>
        <v>2000</v>
      </c>
      <c r="J80" s="728">
        <f>'ДШИ 2'!E7</f>
        <v>2</v>
      </c>
      <c r="K80" s="719"/>
    </row>
    <row r="81" spans="1:11" s="51" customFormat="1" ht="22.5" customHeight="1" x14ac:dyDescent="0.3">
      <c r="A81" s="825">
        <v>5</v>
      </c>
      <c r="B81" s="885" t="str">
        <f>'ДШИ 2'!A8</f>
        <v>нотная литература</v>
      </c>
      <c r="C81" s="885"/>
      <c r="D81" s="885"/>
      <c r="E81" s="885"/>
      <c r="F81" s="825" t="str">
        <f>'ДШИ 2'!L8</f>
        <v>шт.</v>
      </c>
      <c r="G81" s="908">
        <f>'ДШИ 2'!C8</f>
        <v>1.7000000000000001E-2</v>
      </c>
      <c r="H81" s="908"/>
      <c r="I81" s="726">
        <f t="shared" si="4"/>
        <v>900.12928248222374</v>
      </c>
      <c r="J81" s="728">
        <f>'ДШИ 2'!E8</f>
        <v>15.302197802197805</v>
      </c>
      <c r="K81" s="719"/>
    </row>
    <row r="82" spans="1:11" s="51" customFormat="1" ht="23.25" customHeight="1" x14ac:dyDescent="0.3">
      <c r="A82" s="825">
        <v>6</v>
      </c>
      <c r="B82" s="885" t="str">
        <f>'ДШИ 2'!A9</f>
        <v>трости для духовых инструментов</v>
      </c>
      <c r="C82" s="885"/>
      <c r="D82" s="885"/>
      <c r="E82" s="885"/>
      <c r="F82" s="825" t="str">
        <f>'ДШИ 2'!L9</f>
        <v>шт.</v>
      </c>
      <c r="G82" s="908">
        <f>'ДШИ 2'!C9</f>
        <v>0.12</v>
      </c>
      <c r="H82" s="908"/>
      <c r="I82" s="726">
        <f t="shared" si="4"/>
        <v>800</v>
      </c>
      <c r="J82" s="728">
        <f>'ДШИ 2'!E9</f>
        <v>96</v>
      </c>
      <c r="K82" s="719"/>
    </row>
    <row r="83" spans="1:11" s="51" customFormat="1" ht="24.75" customHeight="1" x14ac:dyDescent="0.3">
      <c r="A83" s="825">
        <v>7</v>
      </c>
      <c r="B83" s="885" t="str">
        <f>'ДШИ 2'!A10</f>
        <v>струны для народных инструментов</v>
      </c>
      <c r="C83" s="885"/>
      <c r="D83" s="885"/>
      <c r="E83" s="885"/>
      <c r="F83" s="825" t="str">
        <f>'ДШИ 2'!L10</f>
        <v>шт.</v>
      </c>
      <c r="G83" s="908">
        <f>'ДШИ 2'!C10</f>
        <v>0.15</v>
      </c>
      <c r="H83" s="908"/>
      <c r="I83" s="726">
        <f t="shared" si="4"/>
        <v>1000</v>
      </c>
      <c r="J83" s="728">
        <f>'ДШИ 2'!E10</f>
        <v>150</v>
      </c>
      <c r="K83" s="719"/>
    </row>
    <row r="84" spans="1:11" s="51" customFormat="1" ht="23.25" customHeight="1" x14ac:dyDescent="0.3">
      <c r="A84" s="825">
        <v>8</v>
      </c>
      <c r="B84" s="885" t="str">
        <f>'ДШИ 2'!A11</f>
        <v>обувь хореографическая</v>
      </c>
      <c r="C84" s="885"/>
      <c r="D84" s="885"/>
      <c r="E84" s="885"/>
      <c r="F84" s="825" t="str">
        <f>'ДШИ 2'!L11</f>
        <v>шт.</v>
      </c>
      <c r="G84" s="908">
        <f>'ДШИ 2'!C11</f>
        <v>0.02</v>
      </c>
      <c r="H84" s="908"/>
      <c r="I84" s="726">
        <f t="shared" si="4"/>
        <v>4500</v>
      </c>
      <c r="J84" s="728">
        <f>'ДШИ 2'!E11</f>
        <v>90</v>
      </c>
      <c r="K84" s="719"/>
    </row>
    <row r="85" spans="1:11" s="51" customFormat="1" ht="29.25" customHeight="1" x14ac:dyDescent="0.3">
      <c r="A85" s="723"/>
      <c r="B85" s="1100" t="s">
        <v>63</v>
      </c>
      <c r="C85" s="1100"/>
      <c r="D85" s="1100"/>
      <c r="E85" s="1100"/>
      <c r="F85" s="1100"/>
      <c r="G85" s="1100"/>
      <c r="H85" s="1100"/>
      <c r="I85" s="1101"/>
      <c r="J85" s="728">
        <f>J77+J78+J79+J80+J81+J82+J83+J84</f>
        <v>412.90109890109892</v>
      </c>
      <c r="K85" s="719"/>
    </row>
    <row r="86" spans="1:11" s="51" customFormat="1" ht="62.25" customHeight="1" x14ac:dyDescent="0.3">
      <c r="A86" s="1102" t="s">
        <v>16</v>
      </c>
      <c r="B86" s="1103"/>
      <c r="C86" s="1103"/>
      <c r="D86" s="1103"/>
      <c r="E86" s="1103"/>
      <c r="F86" s="1103"/>
      <c r="G86" s="1103"/>
      <c r="H86" s="1103"/>
      <c r="I86" s="1103"/>
      <c r="J86" s="1104"/>
      <c r="K86" s="719"/>
    </row>
    <row r="87" spans="1:11" s="51" customFormat="1" x14ac:dyDescent="0.3">
      <c r="A87" s="825"/>
      <c r="B87" s="884"/>
      <c r="C87" s="884"/>
      <c r="D87" s="884"/>
      <c r="E87" s="884"/>
      <c r="F87" s="825"/>
      <c r="G87" s="884"/>
      <c r="H87" s="884"/>
      <c r="I87" s="726"/>
      <c r="J87" s="728"/>
      <c r="K87" s="719"/>
    </row>
    <row r="88" spans="1:11" s="51" customFormat="1" x14ac:dyDescent="0.3">
      <c r="A88" s="825"/>
      <c r="B88" s="884"/>
      <c r="C88" s="884"/>
      <c r="D88" s="884"/>
      <c r="E88" s="884"/>
      <c r="F88" s="825"/>
      <c r="G88" s="884"/>
      <c r="H88" s="884"/>
      <c r="I88" s="726"/>
      <c r="J88" s="728"/>
      <c r="K88" s="719"/>
    </row>
    <row r="89" spans="1:11" s="51" customFormat="1" x14ac:dyDescent="0.3">
      <c r="A89" s="899"/>
      <c r="B89" s="883"/>
      <c r="C89" s="883"/>
      <c r="D89" s="883"/>
      <c r="E89" s="883"/>
      <c r="F89" s="883"/>
      <c r="G89" s="883"/>
      <c r="H89" s="883"/>
      <c r="I89" s="883"/>
      <c r="J89" s="728"/>
      <c r="K89" s="719"/>
    </row>
    <row r="90" spans="1:11" s="51" customFormat="1" ht="41.25" customHeight="1" x14ac:dyDescent="0.3">
      <c r="A90" s="1102" t="s">
        <v>19</v>
      </c>
      <c r="B90" s="1103"/>
      <c r="C90" s="1103"/>
      <c r="D90" s="1103"/>
      <c r="E90" s="1103"/>
      <c r="F90" s="1103"/>
      <c r="G90" s="1103"/>
      <c r="H90" s="1103"/>
      <c r="I90" s="1103"/>
      <c r="J90" s="1104"/>
      <c r="K90" s="719"/>
    </row>
    <row r="91" spans="1:11" s="51" customFormat="1" ht="40.5" customHeight="1" x14ac:dyDescent="0.3">
      <c r="A91" s="825">
        <v>1</v>
      </c>
      <c r="B91" s="885" t="str">
        <f>'ДШИ 3'!A27</f>
        <v>Административно управленческий персонал</v>
      </c>
      <c r="C91" s="885"/>
      <c r="D91" s="885"/>
      <c r="E91" s="885"/>
      <c r="F91" s="825" t="s">
        <v>162</v>
      </c>
      <c r="G91" s="908">
        <f>'ДШИ 3'!C27</f>
        <v>9.5</v>
      </c>
      <c r="H91" s="908"/>
      <c r="I91" s="726">
        <f>J91/G91</f>
        <v>367.18276004973063</v>
      </c>
      <c r="J91" s="728">
        <f>'ДШИ 3'!E27</f>
        <v>3488.2362204724409</v>
      </c>
      <c r="K91" s="719"/>
    </row>
    <row r="92" spans="1:11" s="51" customFormat="1" ht="24.75" customHeight="1" x14ac:dyDescent="0.3">
      <c r="A92" s="825">
        <v>2</v>
      </c>
      <c r="B92" s="885" t="str">
        <f>'ДШИ 3'!A28</f>
        <v>Прочий обслуживающий персонал</v>
      </c>
      <c r="C92" s="885"/>
      <c r="D92" s="885"/>
      <c r="E92" s="885"/>
      <c r="F92" s="825" t="s">
        <v>162</v>
      </c>
      <c r="G92" s="908">
        <f>'ДШИ 3'!C28</f>
        <v>66.53</v>
      </c>
      <c r="H92" s="908"/>
      <c r="I92" s="726">
        <f>J92/G92</f>
        <v>90.516267008785334</v>
      </c>
      <c r="J92" s="728">
        <f>'ДШИ 3'!E28</f>
        <v>6022.0472440944886</v>
      </c>
      <c r="K92" s="719"/>
    </row>
    <row r="93" spans="1:11" s="51" customFormat="1" x14ac:dyDescent="0.3">
      <c r="A93" s="825"/>
      <c r="B93" s="884"/>
      <c r="C93" s="884"/>
      <c r="D93" s="884"/>
      <c r="E93" s="884"/>
      <c r="F93" s="825"/>
      <c r="G93" s="884"/>
      <c r="H93" s="884"/>
      <c r="I93" s="726"/>
      <c r="J93" s="728"/>
      <c r="K93" s="719"/>
    </row>
    <row r="94" spans="1:11" s="51" customFormat="1" x14ac:dyDescent="0.3">
      <c r="A94" s="825"/>
      <c r="B94" s="884" t="s">
        <v>63</v>
      </c>
      <c r="C94" s="884"/>
      <c r="D94" s="884"/>
      <c r="E94" s="884"/>
      <c r="F94" s="825"/>
      <c r="G94" s="884"/>
      <c r="H94" s="884"/>
      <c r="I94" s="726"/>
      <c r="J94" s="728">
        <f>J91+J92</f>
        <v>9510.28346456693</v>
      </c>
      <c r="K94" s="719"/>
    </row>
    <row r="95" spans="1:11" s="51" customFormat="1" ht="20.25" customHeight="1" x14ac:dyDescent="0.3">
      <c r="A95" s="1102" t="s">
        <v>20</v>
      </c>
      <c r="B95" s="1103"/>
      <c r="C95" s="1103"/>
      <c r="D95" s="1103"/>
      <c r="E95" s="1103"/>
      <c r="F95" s="1103"/>
      <c r="G95" s="1103"/>
      <c r="H95" s="1103"/>
      <c r="I95" s="1103"/>
      <c r="J95" s="1104"/>
      <c r="K95" s="719"/>
    </row>
    <row r="96" spans="1:11" s="51" customFormat="1" ht="39" customHeight="1" x14ac:dyDescent="0.3">
      <c r="A96" s="825">
        <v>1</v>
      </c>
      <c r="B96" s="885" t="str">
        <f>'ДШИ 3'!A6</f>
        <v>оплата отопления и технологических нужд</v>
      </c>
      <c r="C96" s="885"/>
      <c r="D96" s="885"/>
      <c r="E96" s="885"/>
      <c r="F96" s="825" t="str">
        <f>'ДШИ 3'!D6</f>
        <v>Гкалл</v>
      </c>
      <c r="G96" s="908">
        <f>'ДШИ 3'!C6</f>
        <v>0.18420288941418222</v>
      </c>
      <c r="H96" s="908"/>
      <c r="I96" s="726">
        <f>J96/G96</f>
        <v>3022.6</v>
      </c>
      <c r="J96" s="728">
        <f>'ДШИ 3'!E6</f>
        <v>556.77165354330714</v>
      </c>
      <c r="K96" s="719"/>
    </row>
    <row r="97" spans="1:11" s="51" customFormat="1" ht="42.75" customHeight="1" x14ac:dyDescent="0.3">
      <c r="A97" s="825">
        <v>2</v>
      </c>
      <c r="B97" s="885" t="str">
        <f>'ДШИ 3'!A7</f>
        <v>оплата потребления электрической энергии</v>
      </c>
      <c r="C97" s="885"/>
      <c r="D97" s="885"/>
      <c r="E97" s="885"/>
      <c r="F97" s="825" t="str">
        <f>'ДШИ 3'!D7</f>
        <v>Кват/ч</v>
      </c>
      <c r="G97" s="908">
        <f>'ДШИ 3'!C7</f>
        <v>24.542053000555086</v>
      </c>
      <c r="H97" s="908"/>
      <c r="I97" s="726">
        <f t="shared" ref="I97:I98" si="5">J97/G97</f>
        <v>7.66</v>
      </c>
      <c r="J97" s="728">
        <f>'ДШИ 3'!E7</f>
        <v>187.99212598425197</v>
      </c>
      <c r="K97" s="719"/>
    </row>
    <row r="98" spans="1:11" s="51" customFormat="1" ht="42.75" customHeight="1" x14ac:dyDescent="0.3">
      <c r="A98" s="825">
        <v>3</v>
      </c>
      <c r="B98" s="885" t="str">
        <f>'ДШИ 3'!A8</f>
        <v>оплата водоснабжения и водоотведения</v>
      </c>
      <c r="C98" s="885"/>
      <c r="D98" s="885"/>
      <c r="E98" s="885"/>
      <c r="F98" s="825" t="str">
        <f>'ДШИ 3'!D8</f>
        <v>м3</v>
      </c>
      <c r="G98" s="908">
        <f>'ДШИ 3'!C8</f>
        <v>0.34380794765981731</v>
      </c>
      <c r="H98" s="908"/>
      <c r="I98" s="726">
        <f t="shared" si="5"/>
        <v>77.41</v>
      </c>
      <c r="J98" s="728">
        <f>'ДШИ 3'!E8</f>
        <v>26.614173228346456</v>
      </c>
      <c r="K98" s="719"/>
    </row>
    <row r="99" spans="1:11" s="51" customFormat="1" x14ac:dyDescent="0.3">
      <c r="A99" s="825"/>
      <c r="B99" s="1099" t="s">
        <v>63</v>
      </c>
      <c r="C99" s="1100"/>
      <c r="D99" s="1100"/>
      <c r="E99" s="1100"/>
      <c r="F99" s="1100"/>
      <c r="G99" s="1100"/>
      <c r="H99" s="1100"/>
      <c r="I99" s="1101"/>
      <c r="J99" s="728">
        <f>J96+J97+J98</f>
        <v>771.37795275590554</v>
      </c>
      <c r="K99" s="719"/>
    </row>
    <row r="100" spans="1:11" s="51" customFormat="1" ht="18.75" customHeight="1" x14ac:dyDescent="0.3">
      <c r="A100" s="1096" t="s">
        <v>21</v>
      </c>
      <c r="B100" s="1097"/>
      <c r="C100" s="1097"/>
      <c r="D100" s="1097"/>
      <c r="E100" s="1097"/>
      <c r="F100" s="1097"/>
      <c r="G100" s="1097"/>
      <c r="H100" s="1097"/>
      <c r="I100" s="1097"/>
      <c r="J100" s="1098"/>
      <c r="K100" s="719"/>
    </row>
    <row r="101" spans="1:11" s="51" customFormat="1" ht="38.25" customHeight="1" x14ac:dyDescent="0.3">
      <c r="A101" s="825">
        <v>1</v>
      </c>
      <c r="B101" s="885" t="str">
        <f>'ДШИ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101" s="885"/>
      <c r="D101" s="885"/>
      <c r="E101" s="885"/>
      <c r="F101" s="825" t="str">
        <f>'ДШИ 3'!D11</f>
        <v>договор</v>
      </c>
      <c r="G101" s="908">
        <f>'ДШИ 3'!C11</f>
        <v>5.4945054945054949E-3</v>
      </c>
      <c r="H101" s="908"/>
      <c r="I101" s="726">
        <f>J101/G101</f>
        <v>29632.322834645671</v>
      </c>
      <c r="J101" s="728">
        <f>'ДШИ 3'!E11</f>
        <v>162.81496062992127</v>
      </c>
      <c r="K101" s="719"/>
    </row>
    <row r="102" spans="1:11" s="51" customFormat="1" ht="57" hidden="1" customHeight="1" x14ac:dyDescent="0.3">
      <c r="A102" s="825">
        <v>2</v>
      </c>
      <c r="B102" s="885" t="str">
        <f>'ДШИ 3'!A12</f>
        <v>Техническое обслуживание газового оборудования, дымоходов</v>
      </c>
      <c r="C102" s="885"/>
      <c r="D102" s="885"/>
      <c r="E102" s="885"/>
      <c r="F102" s="825" t="str">
        <f>'ДШИ 3'!D12</f>
        <v>договор</v>
      </c>
      <c r="G102" s="908">
        <f>'ДШИ 3'!C12</f>
        <v>0</v>
      </c>
      <c r="H102" s="908"/>
      <c r="I102" s="726" t="e">
        <f t="shared" ref="I102:I105" si="6">J102/G102</f>
        <v>#DIV/0!</v>
      </c>
      <c r="J102" s="728">
        <f>'ДШИ 3'!E12</f>
        <v>0</v>
      </c>
      <c r="K102" s="719"/>
    </row>
    <row r="103" spans="1:11" s="51" customFormat="1" ht="37.5" customHeight="1" x14ac:dyDescent="0.3">
      <c r="A103" s="825">
        <v>2</v>
      </c>
      <c r="B103" s="885" t="str">
        <f>'ДШИ 3'!A13</f>
        <v>Техническое обслуживание и регламентно-профилактический ремонт, в том числе на подготовку отопительной системы к зимнему сезону</v>
      </c>
      <c r="C103" s="885"/>
      <c r="D103" s="885"/>
      <c r="E103" s="885"/>
      <c r="F103" s="825" t="str">
        <f>'ДШИ 3'!D13</f>
        <v>договор</v>
      </c>
      <c r="G103" s="908">
        <f>'ДШИ 3'!C13</f>
        <v>1.098901098901099E-2</v>
      </c>
      <c r="H103" s="908"/>
      <c r="I103" s="726">
        <f t="shared" si="6"/>
        <v>8885.039370078739</v>
      </c>
      <c r="J103" s="728">
        <f>'ДШИ 3'!E13</f>
        <v>97.637795275590548</v>
      </c>
      <c r="K103" s="719"/>
    </row>
    <row r="104" spans="1:11" s="51" customFormat="1" ht="60" customHeight="1" x14ac:dyDescent="0.3">
      <c r="A104" s="825">
        <v>3</v>
      </c>
      <c r="B104" s="885" t="str">
        <f>'ДШИ 3'!A14</f>
        <v>Техническое обслуживание и регламентно-профилактический ремонт электрооборудования</v>
      </c>
      <c r="C104" s="885"/>
      <c r="D104" s="885"/>
      <c r="E104" s="885"/>
      <c r="F104" s="825" t="str">
        <f>'ДШИ 3'!D14</f>
        <v>договор</v>
      </c>
      <c r="G104" s="908">
        <f>'ДШИ 3'!C14</f>
        <v>5.4945054945054949E-3</v>
      </c>
      <c r="H104" s="908"/>
      <c r="I104" s="726">
        <f t="shared" si="6"/>
        <v>3227.9921259842517</v>
      </c>
      <c r="J104" s="728">
        <f>'ДШИ 3'!E14</f>
        <v>17.736220472440944</v>
      </c>
      <c r="K104" s="719"/>
    </row>
    <row r="105" spans="1:11" s="51" customFormat="1" ht="42.75" customHeight="1" x14ac:dyDescent="0.3">
      <c r="A105" s="825">
        <v>4</v>
      </c>
      <c r="B105" s="885" t="str">
        <f>'ДШИ 3'!A15</f>
        <v>Вывоз твердых бытовых отходов, утилизация отходов</v>
      </c>
      <c r="C105" s="885"/>
      <c r="D105" s="885"/>
      <c r="E105" s="885"/>
      <c r="F105" s="825" t="str">
        <f>'ДШИ 3'!D15</f>
        <v>договор</v>
      </c>
      <c r="G105" s="908">
        <f>'ДШИ 3'!C15</f>
        <v>5.4945054945054949E-3</v>
      </c>
      <c r="H105" s="908"/>
      <c r="I105" s="726">
        <f t="shared" si="6"/>
        <v>1936.795275590551</v>
      </c>
      <c r="J105" s="728">
        <f>'ДШИ 3'!E15</f>
        <v>10.641732283464567</v>
      </c>
      <c r="K105" s="719"/>
    </row>
    <row r="106" spans="1:11" s="51" customFormat="1" x14ac:dyDescent="0.3">
      <c r="A106" s="825"/>
      <c r="B106" s="884"/>
      <c r="C106" s="884"/>
      <c r="D106" s="884"/>
      <c r="E106" s="884"/>
      <c r="F106" s="825"/>
      <c r="G106" s="884"/>
      <c r="H106" s="884"/>
      <c r="I106" s="726"/>
      <c r="J106" s="728"/>
      <c r="K106" s="719"/>
    </row>
    <row r="107" spans="1:11" s="51" customFormat="1" x14ac:dyDescent="0.3">
      <c r="A107" s="825"/>
      <c r="B107" s="884" t="s">
        <v>63</v>
      </c>
      <c r="C107" s="884"/>
      <c r="D107" s="884"/>
      <c r="E107" s="884"/>
      <c r="F107" s="825"/>
      <c r="G107" s="884"/>
      <c r="H107" s="884"/>
      <c r="I107" s="726"/>
      <c r="J107" s="728">
        <f>J101+J103+J104+J105</f>
        <v>288.83070866141736</v>
      </c>
      <c r="K107" s="719"/>
    </row>
    <row r="108" spans="1:11" s="51" customFormat="1" ht="18.75" customHeight="1" x14ac:dyDescent="0.3">
      <c r="A108" s="1102" t="s">
        <v>22</v>
      </c>
      <c r="B108" s="1103"/>
      <c r="C108" s="1103"/>
      <c r="D108" s="1103"/>
      <c r="E108" s="1103"/>
      <c r="F108" s="1103"/>
      <c r="G108" s="1103"/>
      <c r="H108" s="1103"/>
      <c r="I108" s="1103"/>
      <c r="J108" s="1104"/>
      <c r="K108" s="719"/>
    </row>
    <row r="109" spans="1:11" s="51" customFormat="1" x14ac:dyDescent="0.3">
      <c r="A109" s="825">
        <v>1</v>
      </c>
      <c r="B109" s="885" t="str">
        <f>'ДШИ 3'!A23</f>
        <v>интернет</v>
      </c>
      <c r="C109" s="885"/>
      <c r="D109" s="885"/>
      <c r="E109" s="885"/>
      <c r="F109" s="825" t="str">
        <f>'ДШИ 3'!D23</f>
        <v>Г</v>
      </c>
      <c r="G109" s="908">
        <f>'ДШИ 3'!C23</f>
        <v>2.0669291338582676</v>
      </c>
      <c r="H109" s="908"/>
      <c r="I109" s="726">
        <f>J109/G109</f>
        <v>30</v>
      </c>
      <c r="J109" s="728">
        <f>'ДШИ 3'!E23</f>
        <v>62.00787401574803</v>
      </c>
      <c r="K109" s="719"/>
    </row>
    <row r="110" spans="1:11" s="51" customFormat="1" x14ac:dyDescent="0.3">
      <c r="A110" s="825">
        <v>2</v>
      </c>
      <c r="B110" s="885" t="str">
        <f>'ДШИ 3'!A24</f>
        <v>услуги связи</v>
      </c>
      <c r="C110" s="885"/>
      <c r="D110" s="885"/>
      <c r="E110" s="885"/>
      <c r="F110" s="825" t="str">
        <f>'ДШИ 3'!D24</f>
        <v>мин.</v>
      </c>
      <c r="G110" s="908">
        <f>'ДШИ 3'!C24</f>
        <v>45.833333333333336</v>
      </c>
      <c r="H110" s="908"/>
      <c r="I110" s="726">
        <f>J110/G110</f>
        <v>1.2</v>
      </c>
      <c r="J110" s="728">
        <f>'ДШИ 3'!E24</f>
        <v>55</v>
      </c>
      <c r="K110" s="719"/>
    </row>
    <row r="111" spans="1:11" s="51" customFormat="1" x14ac:dyDescent="0.3">
      <c r="A111" s="825"/>
      <c r="B111" s="1099" t="s">
        <v>63</v>
      </c>
      <c r="C111" s="1100"/>
      <c r="D111" s="1100"/>
      <c r="E111" s="1100"/>
      <c r="F111" s="1100"/>
      <c r="G111" s="1100"/>
      <c r="H111" s="1100"/>
      <c r="I111" s="1101"/>
      <c r="J111" s="728">
        <f>J109+J110</f>
        <v>117.00787401574803</v>
      </c>
      <c r="K111" s="719"/>
    </row>
    <row r="112" spans="1:11" s="51" customFormat="1" ht="18.75" customHeight="1" x14ac:dyDescent="0.3">
      <c r="A112" s="1102" t="s">
        <v>23</v>
      </c>
      <c r="B112" s="1103"/>
      <c r="C112" s="1103"/>
      <c r="D112" s="1103"/>
      <c r="E112" s="1103"/>
      <c r="F112" s="1103"/>
      <c r="G112" s="1103"/>
      <c r="H112" s="1103"/>
      <c r="I112" s="1103"/>
      <c r="J112" s="1104"/>
      <c r="K112" s="719"/>
    </row>
    <row r="113" spans="1:11" s="51" customFormat="1" ht="23.25" customHeight="1" x14ac:dyDescent="0.3">
      <c r="A113" s="825">
        <v>1</v>
      </c>
      <c r="B113" s="885" t="str">
        <f>'ДШИ 3'!A31</f>
        <v>Медицинский осмотр</v>
      </c>
      <c r="C113" s="885"/>
      <c r="D113" s="885"/>
      <c r="E113" s="885"/>
      <c r="F113" s="825" t="str">
        <f>'ДШИ 3'!D31</f>
        <v>чел.</v>
      </c>
      <c r="G113" s="908">
        <f>'ДШИ 3'!C31</f>
        <v>0.06</v>
      </c>
      <c r="H113" s="908"/>
      <c r="I113" s="726">
        <f>J113/G113</f>
        <v>2066.929133858268</v>
      </c>
      <c r="J113" s="728">
        <f>'ДШИ 3'!E31</f>
        <v>124.01574803149606</v>
      </c>
      <c r="K113" s="719"/>
    </row>
    <row r="114" spans="1:11" s="51" customFormat="1" ht="94.5" customHeight="1" x14ac:dyDescent="0.3">
      <c r="A114" s="825">
        <v>2</v>
      </c>
      <c r="B114" s="885" t="str">
        <f>'ДШИ 3'!A32</f>
        <v>Производственный контроль, аккарицидная обработка, дератизация, дезинфекция и пр. санитарно-гигиенические меропориятия</v>
      </c>
      <c r="C114" s="885"/>
      <c r="D114" s="885"/>
      <c r="E114" s="885"/>
      <c r="F114" s="825" t="str">
        <f>'ДШИ 3'!D32</f>
        <v>договор</v>
      </c>
      <c r="G114" s="908">
        <f>'ДШИ 3'!C32</f>
        <v>5.4945054945054949E-3</v>
      </c>
      <c r="H114" s="908"/>
      <c r="I114" s="726">
        <f t="shared" ref="I114:I119" si="7">J114/G114</f>
        <v>14545.669291338581</v>
      </c>
      <c r="J114" s="728">
        <f>'ДШИ 3'!E32</f>
        <v>79.921259842519689</v>
      </c>
      <c r="K114" s="719"/>
    </row>
    <row r="115" spans="1:11" s="51" customFormat="1" ht="72.75" customHeight="1" x14ac:dyDescent="0.3">
      <c r="A115" s="825">
        <v>3</v>
      </c>
      <c r="B115" s="885" t="str">
        <f>'ДШИ 3'!A33</f>
        <v>Обучение персонала (электро, тепло, газовое хозяйство, пожарная безопасность, охрана труда и др.)</v>
      </c>
      <c r="C115" s="885"/>
      <c r="D115" s="885"/>
      <c r="E115" s="885"/>
      <c r="F115" s="825" t="str">
        <f>'ДШИ 3'!D33</f>
        <v>чел.</v>
      </c>
      <c r="G115" s="908">
        <f>'ДШИ 3'!C33</f>
        <v>5.0000000000000001E-3</v>
      </c>
      <c r="H115" s="908"/>
      <c r="I115" s="726">
        <f t="shared" si="7"/>
        <v>5322.8346456692907</v>
      </c>
      <c r="J115" s="728">
        <f>'ДШИ 3'!E33</f>
        <v>26.614173228346456</v>
      </c>
      <c r="K115" s="719"/>
    </row>
    <row r="116" spans="1:11" s="51" customFormat="1" ht="38.25" customHeight="1" x14ac:dyDescent="0.3">
      <c r="A116" s="825">
        <v>4</v>
      </c>
      <c r="B116" s="885" t="str">
        <f>'ДШИ 3'!A34</f>
        <v>Обслуживание программных комплексов</v>
      </c>
      <c r="C116" s="885"/>
      <c r="D116" s="885"/>
      <c r="E116" s="885"/>
      <c r="F116" s="825" t="str">
        <f>'ДШИ 3'!D34</f>
        <v>договор</v>
      </c>
      <c r="G116" s="908">
        <f>'ДШИ 3'!C34</f>
        <v>2.7472527472527472E-2</v>
      </c>
      <c r="H116" s="908"/>
      <c r="I116" s="726">
        <f t="shared" si="7"/>
        <v>3873.5905511811025</v>
      </c>
      <c r="J116" s="728">
        <f>'ДШИ 3'!E34</f>
        <v>106.41732283464567</v>
      </c>
      <c r="K116" s="719"/>
    </row>
    <row r="117" spans="1:11" s="51" customFormat="1" ht="44.25" hidden="1" customHeight="1" x14ac:dyDescent="0.3">
      <c r="A117" s="825">
        <v>5</v>
      </c>
      <c r="B117" s="885" t="str">
        <f>'ДШИ 3'!A35</f>
        <v>Специальная оценка условий труда</v>
      </c>
      <c r="C117" s="885"/>
      <c r="D117" s="885"/>
      <c r="E117" s="885"/>
      <c r="F117" s="825" t="str">
        <f>'ДШИ 3'!D35</f>
        <v>договор</v>
      </c>
      <c r="G117" s="908">
        <f>'ДШИ 3'!C35</f>
        <v>5.4945054945054949E-3</v>
      </c>
      <c r="H117" s="908"/>
      <c r="I117" s="726">
        <f t="shared" si="7"/>
        <v>16122.047244094487</v>
      </c>
      <c r="J117" s="728">
        <f>'ДШИ 3'!E35</f>
        <v>88.582677165354326</v>
      </c>
      <c r="K117" s="719"/>
    </row>
    <row r="118" spans="1:11" s="51" customFormat="1" ht="30" customHeight="1" x14ac:dyDescent="0.3">
      <c r="A118" s="825">
        <v>5</v>
      </c>
      <c r="B118" s="885" t="str">
        <f>'ДШИ 3'!A35</f>
        <v>Специальная оценка условий труда</v>
      </c>
      <c r="C118" s="885"/>
      <c r="D118" s="885"/>
      <c r="E118" s="885"/>
      <c r="F118" s="825" t="str">
        <f>'ДШИ 3'!D36</f>
        <v>договор</v>
      </c>
      <c r="G118" s="908">
        <v>5.0000000000000001E-3</v>
      </c>
      <c r="H118" s="908"/>
      <c r="I118" s="726">
        <f t="shared" si="7"/>
        <v>17716.535433070865</v>
      </c>
      <c r="J118" s="728">
        <f>'ДШИ 3'!E35</f>
        <v>88.582677165354326</v>
      </c>
      <c r="K118" s="719"/>
    </row>
    <row r="119" spans="1:11" s="51" customFormat="1" ht="41.25" customHeight="1" x14ac:dyDescent="0.3">
      <c r="A119" s="825">
        <v>6</v>
      </c>
      <c r="B119" s="885" t="str">
        <f>'ДШИ 3'!A37</f>
        <v>Проверка и ремонт измерительных приборов</v>
      </c>
      <c r="C119" s="885"/>
      <c r="D119" s="885"/>
      <c r="E119" s="885"/>
      <c r="F119" s="825" t="str">
        <f>'ДШИ 3'!D37</f>
        <v>договор</v>
      </c>
      <c r="G119" s="908">
        <f>'ДШИ 3'!C37</f>
        <v>5.4945054945054949E-3</v>
      </c>
      <c r="H119" s="908"/>
      <c r="I119" s="726">
        <f t="shared" si="7"/>
        <v>25823.937007874014</v>
      </c>
      <c r="J119" s="728">
        <f>'ДШИ 3'!E37</f>
        <v>141.88976377952756</v>
      </c>
      <c r="K119" s="719"/>
    </row>
    <row r="120" spans="1:11" s="51" customFormat="1" ht="23.25" customHeight="1" x14ac:dyDescent="0.3">
      <c r="A120" s="720"/>
      <c r="B120" s="1102" t="s">
        <v>63</v>
      </c>
      <c r="C120" s="1103"/>
      <c r="D120" s="1103"/>
      <c r="E120" s="1103"/>
      <c r="F120" s="1103"/>
      <c r="G120" s="1103"/>
      <c r="H120" s="1103"/>
      <c r="I120" s="1104"/>
      <c r="J120" s="728">
        <f>J113+J114+J115+J116+J119+J118</f>
        <v>567.44094488188978</v>
      </c>
      <c r="K120" s="719"/>
    </row>
    <row r="121" spans="1:11" s="51" customFormat="1" ht="23.25" customHeight="1" x14ac:dyDescent="0.3">
      <c r="A121" s="720"/>
      <c r="B121" s="1102" t="s">
        <v>69</v>
      </c>
      <c r="C121" s="1103"/>
      <c r="D121" s="1103"/>
      <c r="E121" s="1103"/>
      <c r="F121" s="1103"/>
      <c r="G121" s="1103"/>
      <c r="H121" s="1103"/>
      <c r="I121" s="1104"/>
      <c r="J121" s="728">
        <f>J75+J85+J94+J99+J107+J111+J120</f>
        <v>50359.600285541237</v>
      </c>
      <c r="K121" s="725">
        <f>J121*254</f>
        <v>12791338.472527474</v>
      </c>
    </row>
    <row r="122" spans="1:11" s="51" customFormat="1" x14ac:dyDescent="0.3">
      <c r="A122" s="732"/>
      <c r="B122" s="732"/>
      <c r="C122" s="732"/>
      <c r="D122" s="732"/>
      <c r="E122" s="732"/>
      <c r="F122" s="732"/>
      <c r="G122" s="732"/>
      <c r="H122" s="732"/>
      <c r="I122" s="733"/>
      <c r="J122" s="733"/>
      <c r="K122" s="725"/>
    </row>
    <row r="123" spans="1:11" s="51" customFormat="1" x14ac:dyDescent="0.3">
      <c r="A123" s="901" t="s">
        <v>4</v>
      </c>
      <c r="B123" s="901"/>
      <c r="C123" s="901"/>
      <c r="D123" s="901"/>
      <c r="E123" s="901"/>
      <c r="F123" s="901"/>
      <c r="G123" s="901"/>
      <c r="H123" s="901"/>
      <c r="I123" s="901"/>
      <c r="J123" s="901"/>
      <c r="K123" s="719"/>
    </row>
    <row r="124" spans="1:11" s="51" customFormat="1" x14ac:dyDescent="0.3">
      <c r="A124" s="901" t="s">
        <v>5</v>
      </c>
      <c r="B124" s="901"/>
      <c r="C124" s="901"/>
      <c r="D124" s="901"/>
      <c r="E124" s="901"/>
      <c r="F124" s="901"/>
      <c r="G124" s="901"/>
      <c r="H124" s="901"/>
      <c r="I124" s="901"/>
      <c r="J124" s="901"/>
      <c r="K124" s="719"/>
    </row>
    <row r="125" spans="1:11" s="51" customFormat="1" x14ac:dyDescent="0.3">
      <c r="A125" s="901" t="s">
        <v>6</v>
      </c>
      <c r="B125" s="901"/>
      <c r="C125" s="901"/>
      <c r="D125" s="901"/>
      <c r="E125" s="901"/>
      <c r="F125" s="901"/>
      <c r="G125" s="901"/>
      <c r="H125" s="901"/>
      <c r="I125" s="901"/>
      <c r="J125" s="901"/>
      <c r="K125" s="719"/>
    </row>
    <row r="126" spans="1:11" s="51" customFormat="1" x14ac:dyDescent="0.3">
      <c r="A126" s="910" t="s">
        <v>39</v>
      </c>
      <c r="B126" s="910"/>
      <c r="C126" s="910"/>
      <c r="D126" s="910"/>
      <c r="E126" s="910"/>
      <c r="F126" s="910"/>
      <c r="G126" s="910"/>
      <c r="H126" s="910"/>
      <c r="I126" s="910"/>
      <c r="J126" s="910"/>
      <c r="K126" s="719"/>
    </row>
    <row r="127" spans="1:11" s="51" customFormat="1" x14ac:dyDescent="0.3">
      <c r="A127" s="903" t="s">
        <v>223</v>
      </c>
      <c r="B127" s="903"/>
      <c r="C127" s="903"/>
      <c r="D127" s="903"/>
      <c r="E127" s="903"/>
      <c r="F127" s="903"/>
      <c r="G127" s="903"/>
      <c r="H127" s="903"/>
      <c r="I127" s="903"/>
      <c r="J127" s="903"/>
      <c r="K127" s="719"/>
    </row>
    <row r="128" spans="1:11" s="51" customFormat="1" x14ac:dyDescent="0.3">
      <c r="A128" s="1095" t="s">
        <v>120</v>
      </c>
      <c r="B128" s="1095"/>
      <c r="C128" s="1095"/>
      <c r="D128" s="1095"/>
      <c r="E128" s="1095"/>
      <c r="F128" s="1095"/>
      <c r="G128" s="1095"/>
      <c r="H128" s="1095"/>
      <c r="I128" s="1095"/>
      <c r="J128" s="1095"/>
      <c r="K128" s="719"/>
    </row>
    <row r="129" spans="1:15" s="51" customFormat="1" ht="14.25" customHeight="1" x14ac:dyDescent="0.3">
      <c r="A129" s="719"/>
      <c r="B129" s="719"/>
      <c r="C129" s="719"/>
      <c r="D129" s="719"/>
      <c r="E129" s="719"/>
      <c r="F129" s="719"/>
      <c r="G129" s="719"/>
      <c r="H129" s="719"/>
      <c r="I129" s="725"/>
      <c r="J129" s="733"/>
      <c r="K129" s="719"/>
      <c r="L129" s="1118" t="s">
        <v>119</v>
      </c>
      <c r="M129" s="1118"/>
      <c r="N129" s="1118"/>
    </row>
    <row r="130" spans="1:15" s="51" customFormat="1" ht="75" customHeight="1" x14ac:dyDescent="0.3">
      <c r="A130" s="826" t="s">
        <v>9</v>
      </c>
      <c r="B130" s="883" t="s">
        <v>10</v>
      </c>
      <c r="C130" s="883"/>
      <c r="D130" s="883"/>
      <c r="E130" s="883"/>
      <c r="F130" s="826" t="s">
        <v>11</v>
      </c>
      <c r="G130" s="883" t="s">
        <v>12</v>
      </c>
      <c r="H130" s="883"/>
      <c r="I130" s="726" t="s">
        <v>31</v>
      </c>
      <c r="J130" s="726" t="s">
        <v>32</v>
      </c>
      <c r="K130" s="719"/>
    </row>
    <row r="131" spans="1:15" s="51" customFormat="1" x14ac:dyDescent="0.3">
      <c r="A131" s="825">
        <v>1</v>
      </c>
      <c r="B131" s="884">
        <v>2</v>
      </c>
      <c r="C131" s="884"/>
      <c r="D131" s="884"/>
      <c r="E131" s="884"/>
      <c r="F131" s="825">
        <v>3</v>
      </c>
      <c r="G131" s="884">
        <v>3</v>
      </c>
      <c r="H131" s="884"/>
      <c r="I131" s="726">
        <v>4</v>
      </c>
      <c r="J131" s="727">
        <v>5</v>
      </c>
      <c r="K131" s="719"/>
    </row>
    <row r="132" spans="1:15" s="51" customFormat="1" ht="18.75" customHeight="1" x14ac:dyDescent="0.3">
      <c r="A132" s="1096" t="s">
        <v>18</v>
      </c>
      <c r="B132" s="1097"/>
      <c r="C132" s="1097"/>
      <c r="D132" s="1097"/>
      <c r="E132" s="1097"/>
      <c r="F132" s="1097"/>
      <c r="G132" s="1097"/>
      <c r="H132" s="1097"/>
      <c r="I132" s="1097"/>
      <c r="J132" s="1098"/>
      <c r="K132" s="719"/>
    </row>
    <row r="133" spans="1:15" s="51" customFormat="1" ht="18.75" customHeight="1" x14ac:dyDescent="0.3">
      <c r="A133" s="1102" t="s">
        <v>14</v>
      </c>
      <c r="B133" s="1103"/>
      <c r="C133" s="1103"/>
      <c r="D133" s="1103"/>
      <c r="E133" s="1103"/>
      <c r="F133" s="1103"/>
      <c r="G133" s="1103"/>
      <c r="H133" s="1103"/>
      <c r="I133" s="1103"/>
      <c r="J133" s="1104"/>
      <c r="K133" s="719"/>
    </row>
    <row r="134" spans="1:15" s="51" customFormat="1" x14ac:dyDescent="0.3">
      <c r="A134" s="825">
        <v>1</v>
      </c>
      <c r="B134" s="884" t="str">
        <f>ДШИ!B5</f>
        <v xml:space="preserve">преподаватель </v>
      </c>
      <c r="C134" s="884"/>
      <c r="D134" s="884"/>
      <c r="E134" s="884"/>
      <c r="F134" s="825" t="s">
        <v>162</v>
      </c>
      <c r="G134" s="908">
        <f>ДШИ!K5</f>
        <v>38.22</v>
      </c>
      <c r="H134" s="908"/>
      <c r="I134" s="726">
        <f>J134/G134</f>
        <v>1012.3443694872267</v>
      </c>
      <c r="J134" s="728">
        <f>ДШИ!M5</f>
        <v>38691.801801801805</v>
      </c>
      <c r="K134" s="725"/>
      <c r="L134" s="69"/>
      <c r="M134" s="69"/>
      <c r="N134" s="69"/>
      <c r="O134" s="69"/>
    </row>
    <row r="135" spans="1:15" s="51" customFormat="1" x14ac:dyDescent="0.3">
      <c r="A135" s="825"/>
      <c r="B135" s="884" t="s">
        <v>63</v>
      </c>
      <c r="C135" s="884"/>
      <c r="D135" s="884"/>
      <c r="E135" s="884"/>
      <c r="F135" s="825"/>
      <c r="G135" s="884"/>
      <c r="H135" s="884"/>
      <c r="I135" s="726"/>
      <c r="J135" s="728">
        <f>J134</f>
        <v>38691.801801801805</v>
      </c>
      <c r="K135" s="725"/>
      <c r="L135" s="69"/>
      <c r="M135" s="69"/>
      <c r="N135" s="69"/>
      <c r="O135" s="69"/>
    </row>
    <row r="136" spans="1:15" s="51" customFormat="1" ht="18.75" customHeight="1" x14ac:dyDescent="0.3">
      <c r="A136" s="1102" t="s">
        <v>15</v>
      </c>
      <c r="B136" s="1103"/>
      <c r="C136" s="1103"/>
      <c r="D136" s="1103"/>
      <c r="E136" s="1103"/>
      <c r="F136" s="1103"/>
      <c r="G136" s="1103"/>
      <c r="H136" s="1103"/>
      <c r="I136" s="1103"/>
      <c r="J136" s="1104"/>
      <c r="K136" s="725"/>
      <c r="L136" s="69"/>
      <c r="M136" s="69"/>
      <c r="N136" s="69"/>
      <c r="O136" s="69"/>
    </row>
    <row r="137" spans="1:15" s="51" customFormat="1" x14ac:dyDescent="0.3">
      <c r="A137" s="825">
        <v>1</v>
      </c>
      <c r="B137" s="885" t="str">
        <f>'ДШИ 2'!A4</f>
        <v>учебники</v>
      </c>
      <c r="C137" s="885"/>
      <c r="D137" s="885"/>
      <c r="E137" s="885"/>
      <c r="F137" s="825" t="str">
        <f>'ДШИ 2'!L4</f>
        <v>шт.</v>
      </c>
      <c r="G137" s="908">
        <f>'ДШИ 2'!H4</f>
        <v>0.06</v>
      </c>
      <c r="H137" s="908"/>
      <c r="I137" s="726">
        <f>J137/G137</f>
        <v>700</v>
      </c>
      <c r="J137" s="728">
        <f>'ДШИ 2'!J4</f>
        <v>42</v>
      </c>
      <c r="K137" s="725"/>
      <c r="L137" s="69"/>
      <c r="M137" s="69"/>
      <c r="N137" s="69"/>
      <c r="O137" s="69"/>
    </row>
    <row r="138" spans="1:15" s="51" customFormat="1" x14ac:dyDescent="0.3">
      <c r="A138" s="825">
        <v>2</v>
      </c>
      <c r="B138" s="885" t="str">
        <f>'ДШИ 2'!A5</f>
        <v>учебные таблицы</v>
      </c>
      <c r="C138" s="885"/>
      <c r="D138" s="885"/>
      <c r="E138" s="885"/>
      <c r="F138" s="825" t="str">
        <f>'ДШИ 2'!L5</f>
        <v>шт.</v>
      </c>
      <c r="G138" s="908">
        <f>'ДШИ 2'!H5</f>
        <v>4.0000000000000001E-3</v>
      </c>
      <c r="H138" s="908"/>
      <c r="I138" s="726">
        <f t="shared" ref="I138:I144" si="8">J138/G138</f>
        <v>1399.7747747747749</v>
      </c>
      <c r="J138" s="728">
        <f>'ДШИ 2'!J5</f>
        <v>5.5990990990990994</v>
      </c>
      <c r="K138" s="725"/>
      <c r="L138" s="69"/>
      <c r="M138" s="69"/>
      <c r="N138" s="69"/>
      <c r="O138" s="69"/>
    </row>
    <row r="139" spans="1:15" s="51" customFormat="1" x14ac:dyDescent="0.3">
      <c r="A139" s="825">
        <v>3</v>
      </c>
      <c r="B139" s="885" t="str">
        <f>'ДШИ 2'!A6</f>
        <v>фоно и видеотека</v>
      </c>
      <c r="C139" s="885"/>
      <c r="D139" s="885"/>
      <c r="E139" s="885"/>
      <c r="F139" s="825" t="str">
        <f>'ДШИ 2'!L6</f>
        <v>шт.</v>
      </c>
      <c r="G139" s="908">
        <f>'ДШИ 2'!H6</f>
        <v>5.0000000000000001E-3</v>
      </c>
      <c r="H139" s="908"/>
      <c r="I139" s="726">
        <f t="shared" si="8"/>
        <v>2400.0000000000005</v>
      </c>
      <c r="J139" s="728">
        <f>'ДШИ 2'!J6</f>
        <v>12.000000000000002</v>
      </c>
      <c r="K139" s="725"/>
      <c r="L139" s="69"/>
      <c r="M139" s="69"/>
      <c r="N139" s="69"/>
      <c r="O139" s="69"/>
    </row>
    <row r="140" spans="1:15" s="51" customFormat="1" x14ac:dyDescent="0.3">
      <c r="A140" s="825">
        <v>4</v>
      </c>
      <c r="B140" s="885" t="str">
        <f>'ДШИ 2'!A7</f>
        <v>методическая и иная литература</v>
      </c>
      <c r="C140" s="885"/>
      <c r="D140" s="885"/>
      <c r="E140" s="885"/>
      <c r="F140" s="825" t="str">
        <f>'ДШИ 2'!L7</f>
        <v>шт.</v>
      </c>
      <c r="G140" s="908">
        <f>'ДШИ 2'!H7</f>
        <v>1E-3</v>
      </c>
      <c r="H140" s="908"/>
      <c r="I140" s="726">
        <f t="shared" si="8"/>
        <v>2000</v>
      </c>
      <c r="J140" s="728">
        <f>'ДШИ 2'!J7</f>
        <v>2</v>
      </c>
      <c r="K140" s="725"/>
      <c r="L140" s="69"/>
      <c r="M140" s="69"/>
      <c r="N140" s="69"/>
      <c r="O140" s="69"/>
    </row>
    <row r="141" spans="1:15" s="51" customFormat="1" x14ac:dyDescent="0.3">
      <c r="A141" s="825">
        <v>5</v>
      </c>
      <c r="B141" s="885" t="str">
        <f>'ДШИ 2'!A8</f>
        <v>нотная литература</v>
      </c>
      <c r="C141" s="885"/>
      <c r="D141" s="885"/>
      <c r="E141" s="885"/>
      <c r="F141" s="825" t="str">
        <f>'ДШИ 2'!L8</f>
        <v>шт.</v>
      </c>
      <c r="G141" s="908">
        <f>'ДШИ 2'!H8</f>
        <v>1.7000000000000001E-2</v>
      </c>
      <c r="H141" s="908"/>
      <c r="I141" s="726">
        <f t="shared" si="8"/>
        <v>900.10598834128257</v>
      </c>
      <c r="J141" s="728">
        <f>'ДШИ 2'!J8</f>
        <v>15.301801801801805</v>
      </c>
      <c r="K141" s="725"/>
      <c r="L141" s="69"/>
      <c r="M141" s="69"/>
      <c r="N141" s="69"/>
      <c r="O141" s="69"/>
    </row>
    <row r="142" spans="1:15" s="51" customFormat="1" x14ac:dyDescent="0.3">
      <c r="A142" s="825">
        <v>6</v>
      </c>
      <c r="B142" s="885" t="str">
        <f>'ДШИ 2'!A9</f>
        <v>трости для духовых инструментов</v>
      </c>
      <c r="C142" s="885"/>
      <c r="D142" s="885"/>
      <c r="E142" s="885"/>
      <c r="F142" s="825" t="str">
        <f>'ДШИ 2'!L9</f>
        <v>шт.</v>
      </c>
      <c r="G142" s="908">
        <f>'ДШИ 2'!H9</f>
        <v>0.12</v>
      </c>
      <c r="H142" s="908"/>
      <c r="I142" s="726">
        <f t="shared" si="8"/>
        <v>800</v>
      </c>
      <c r="J142" s="728">
        <f>'ДШИ 2'!J9</f>
        <v>96</v>
      </c>
      <c r="K142" s="725"/>
      <c r="L142" s="69"/>
      <c r="M142" s="69"/>
      <c r="N142" s="69"/>
      <c r="O142" s="69"/>
    </row>
    <row r="143" spans="1:15" s="51" customFormat="1" x14ac:dyDescent="0.3">
      <c r="A143" s="825">
        <v>7</v>
      </c>
      <c r="B143" s="885" t="str">
        <f>'ДШИ 2'!A10</f>
        <v>струны для народных инструментов</v>
      </c>
      <c r="C143" s="885"/>
      <c r="D143" s="885"/>
      <c r="E143" s="885"/>
      <c r="F143" s="825" t="str">
        <f>'ДШИ 2'!L10</f>
        <v>шт.</v>
      </c>
      <c r="G143" s="908">
        <f>'ДШИ 2'!H10</f>
        <v>0.15</v>
      </c>
      <c r="H143" s="908"/>
      <c r="I143" s="726">
        <f t="shared" si="8"/>
        <v>1000</v>
      </c>
      <c r="J143" s="728">
        <f>'ДШИ 2'!J10</f>
        <v>150</v>
      </c>
      <c r="K143" s="725"/>
      <c r="L143" s="69"/>
      <c r="M143" s="69"/>
      <c r="N143" s="69"/>
      <c r="O143" s="69"/>
    </row>
    <row r="144" spans="1:15" s="51" customFormat="1" x14ac:dyDescent="0.3">
      <c r="A144" s="825">
        <v>8</v>
      </c>
      <c r="B144" s="885" t="str">
        <f>'ДШИ 2'!A11</f>
        <v>обувь хореографическая</v>
      </c>
      <c r="C144" s="885"/>
      <c r="D144" s="885"/>
      <c r="E144" s="885"/>
      <c r="F144" s="825" t="str">
        <f>'ДШИ 2'!L11</f>
        <v>шт.</v>
      </c>
      <c r="G144" s="908">
        <f>'ДШИ 2'!H11</f>
        <v>0.02</v>
      </c>
      <c r="H144" s="908"/>
      <c r="I144" s="726">
        <f t="shared" si="8"/>
        <v>4500</v>
      </c>
      <c r="J144" s="728">
        <f>'ДШИ 2'!J11</f>
        <v>90</v>
      </c>
      <c r="K144" s="725"/>
      <c r="L144" s="69"/>
      <c r="M144" s="69"/>
      <c r="N144" s="69"/>
      <c r="O144" s="69"/>
    </row>
    <row r="145" spans="1:15" s="51" customFormat="1" x14ac:dyDescent="0.3">
      <c r="A145" s="828"/>
      <c r="B145" s="884" t="s">
        <v>63</v>
      </c>
      <c r="C145" s="884"/>
      <c r="D145" s="884"/>
      <c r="E145" s="884"/>
      <c r="F145" s="884"/>
      <c r="G145" s="884"/>
      <c r="H145" s="884"/>
      <c r="I145" s="884"/>
      <c r="J145" s="728">
        <f>J137+J138+J139+J140+J141+J142+J143+J144</f>
        <v>412.90090090090092</v>
      </c>
      <c r="K145" s="725"/>
      <c r="L145" s="69"/>
      <c r="M145" s="69"/>
      <c r="N145" s="69"/>
      <c r="O145" s="69"/>
    </row>
    <row r="146" spans="1:15" s="51" customFormat="1" ht="70.5" customHeight="1" x14ac:dyDescent="0.3">
      <c r="A146" s="1102" t="s">
        <v>16</v>
      </c>
      <c r="B146" s="1103"/>
      <c r="C146" s="1103"/>
      <c r="D146" s="1103"/>
      <c r="E146" s="1103"/>
      <c r="F146" s="1103"/>
      <c r="G146" s="1103"/>
      <c r="H146" s="1103"/>
      <c r="I146" s="1103"/>
      <c r="J146" s="1104"/>
      <c r="K146" s="725"/>
      <c r="L146" s="69"/>
      <c r="M146" s="69"/>
      <c r="N146" s="69"/>
      <c r="O146" s="69"/>
    </row>
    <row r="147" spans="1:15" s="51" customFormat="1" x14ac:dyDescent="0.3">
      <c r="A147" s="825"/>
      <c r="B147" s="884"/>
      <c r="C147" s="884"/>
      <c r="D147" s="884"/>
      <c r="E147" s="884"/>
      <c r="F147" s="825"/>
      <c r="G147" s="884"/>
      <c r="H147" s="884"/>
      <c r="I147" s="726"/>
      <c r="J147" s="728"/>
      <c r="K147" s="725"/>
      <c r="L147" s="69"/>
      <c r="M147" s="69"/>
      <c r="N147" s="69"/>
      <c r="O147" s="69"/>
    </row>
    <row r="148" spans="1:15" s="51" customFormat="1" x14ac:dyDescent="0.3">
      <c r="A148" s="825"/>
      <c r="B148" s="884"/>
      <c r="C148" s="884"/>
      <c r="D148" s="884"/>
      <c r="E148" s="884"/>
      <c r="F148" s="825"/>
      <c r="G148" s="884"/>
      <c r="H148" s="884"/>
      <c r="I148" s="726"/>
      <c r="J148" s="728"/>
      <c r="K148" s="725"/>
      <c r="L148" s="69"/>
      <c r="M148" s="69"/>
      <c r="N148" s="69"/>
      <c r="O148" s="69"/>
    </row>
    <row r="149" spans="1:15" s="51" customFormat="1" ht="21" customHeight="1" x14ac:dyDescent="0.3">
      <c r="A149" s="1096" t="s">
        <v>17</v>
      </c>
      <c r="B149" s="1097"/>
      <c r="C149" s="1097"/>
      <c r="D149" s="1097"/>
      <c r="E149" s="1097"/>
      <c r="F149" s="1097"/>
      <c r="G149" s="1097"/>
      <c r="H149" s="1097"/>
      <c r="I149" s="1097"/>
      <c r="J149" s="1098"/>
      <c r="K149" s="725"/>
      <c r="L149" s="69"/>
      <c r="M149" s="69"/>
      <c r="N149" s="69"/>
      <c r="O149" s="69"/>
    </row>
    <row r="150" spans="1:15" s="51" customFormat="1" ht="48" customHeight="1" x14ac:dyDescent="0.3">
      <c r="A150" s="1102" t="s">
        <v>19</v>
      </c>
      <c r="B150" s="1103"/>
      <c r="C150" s="1103"/>
      <c r="D150" s="1103"/>
      <c r="E150" s="1103"/>
      <c r="F150" s="1103"/>
      <c r="G150" s="1103"/>
      <c r="H150" s="1103"/>
      <c r="I150" s="1103"/>
      <c r="J150" s="1104"/>
      <c r="K150" s="725"/>
      <c r="L150" s="69"/>
      <c r="M150" s="69"/>
      <c r="N150" s="69"/>
      <c r="O150" s="69"/>
    </row>
    <row r="151" spans="1:15" s="51" customFormat="1" ht="36.75" customHeight="1" x14ac:dyDescent="0.3">
      <c r="A151" s="825">
        <v>1</v>
      </c>
      <c r="B151" s="885" t="str">
        <f>'ДШИ 3'!A27</f>
        <v>Административно управленческий персонал</v>
      </c>
      <c r="C151" s="885"/>
      <c r="D151" s="885"/>
      <c r="E151" s="885"/>
      <c r="F151" s="825" t="s">
        <v>162</v>
      </c>
      <c r="G151" s="908">
        <f>'ДШИ 3'!H27</f>
        <v>9.5</v>
      </c>
      <c r="H151" s="908"/>
      <c r="I151" s="726">
        <f>J151/G151</f>
        <v>173.32491228070174</v>
      </c>
      <c r="J151" s="728">
        <f>'ДШИ 3'!J27</f>
        <v>1646.5866666666666</v>
      </c>
      <c r="K151" s="725"/>
      <c r="L151" s="69"/>
      <c r="M151" s="69"/>
      <c r="N151" s="69"/>
      <c r="O151" s="69"/>
    </row>
    <row r="152" spans="1:15" s="51" customFormat="1" ht="37.5" customHeight="1" x14ac:dyDescent="0.3">
      <c r="A152" s="825">
        <v>2</v>
      </c>
      <c r="B152" s="885" t="str">
        <f>'ДШИ 3'!A28</f>
        <v>Прочий обслуживающий персонал</v>
      </c>
      <c r="C152" s="885"/>
      <c r="D152" s="885"/>
      <c r="E152" s="885"/>
      <c r="F152" s="825" t="s">
        <v>162</v>
      </c>
      <c r="G152" s="908">
        <f>'ДШИ 3'!H28</f>
        <v>66.53</v>
      </c>
      <c r="H152" s="908"/>
      <c r="I152" s="726">
        <f>J152/G152</f>
        <v>186.95776341500073</v>
      </c>
      <c r="J152" s="728">
        <f>'ДШИ 3'!J28</f>
        <v>12438.3</v>
      </c>
      <c r="K152" s="725"/>
      <c r="L152" s="69"/>
      <c r="M152" s="69"/>
      <c r="N152" s="69"/>
      <c r="O152" s="69"/>
    </row>
    <row r="153" spans="1:15" s="51" customFormat="1" x14ac:dyDescent="0.3">
      <c r="A153" s="825"/>
      <c r="B153" s="1099" t="s">
        <v>63</v>
      </c>
      <c r="C153" s="1100"/>
      <c r="D153" s="1100"/>
      <c r="E153" s="1100"/>
      <c r="F153" s="1100"/>
      <c r="G153" s="1100"/>
      <c r="H153" s="1100"/>
      <c r="I153" s="1101"/>
      <c r="J153" s="728">
        <f>J151+J152</f>
        <v>14084.886666666665</v>
      </c>
      <c r="K153" s="719"/>
    </row>
    <row r="154" spans="1:15" s="51" customFormat="1" ht="18.75" customHeight="1" x14ac:dyDescent="0.3">
      <c r="A154" s="1102" t="s">
        <v>20</v>
      </c>
      <c r="B154" s="1103"/>
      <c r="C154" s="1103"/>
      <c r="D154" s="1103"/>
      <c r="E154" s="1103"/>
      <c r="F154" s="1103"/>
      <c r="G154" s="1103"/>
      <c r="H154" s="1103"/>
      <c r="I154" s="1103"/>
      <c r="J154" s="1104"/>
      <c r="K154" s="719"/>
    </row>
    <row r="155" spans="1:15" s="51" customFormat="1" ht="49.5" customHeight="1" x14ac:dyDescent="0.3">
      <c r="A155" s="825">
        <v>1</v>
      </c>
      <c r="B155" s="885" t="str">
        <f>'ДШИ 3'!A6</f>
        <v>оплата отопления и технологических нужд</v>
      </c>
      <c r="C155" s="885"/>
      <c r="D155" s="885"/>
      <c r="E155" s="885"/>
      <c r="F155" s="825" t="str">
        <f>'ДШИ 3'!I6</f>
        <v>Гкалл</v>
      </c>
      <c r="G155" s="908">
        <f>'ДШИ 3'!H6</f>
        <v>0.38047817552217739</v>
      </c>
      <c r="H155" s="908"/>
      <c r="I155" s="726">
        <f>J155/G155</f>
        <v>3022.6</v>
      </c>
      <c r="J155" s="728">
        <f>'ДШИ 3'!J6</f>
        <v>1150.0333333333333</v>
      </c>
      <c r="K155" s="719"/>
    </row>
    <row r="156" spans="1:15" s="51" customFormat="1" ht="42" customHeight="1" x14ac:dyDescent="0.3">
      <c r="A156" s="825">
        <v>2</v>
      </c>
      <c r="B156" s="885" t="str">
        <f>'ДШИ 3'!A7</f>
        <v>оплата потребления электрической энергии</v>
      </c>
      <c r="C156" s="885"/>
      <c r="D156" s="885"/>
      <c r="E156" s="885"/>
      <c r="F156" s="825" t="str">
        <f>'ДШИ 3'!I7</f>
        <v>Кват/ч</v>
      </c>
      <c r="G156" s="908">
        <f>'ДШИ 3'!H7</f>
        <v>50.696257615317663</v>
      </c>
      <c r="H156" s="908"/>
      <c r="I156" s="726">
        <f t="shared" ref="I156:I157" si="9">J156/G156</f>
        <v>7.66</v>
      </c>
      <c r="J156" s="728">
        <f>'ДШИ 3'!J7</f>
        <v>388.33333333333331</v>
      </c>
      <c r="K156" s="719"/>
    </row>
    <row r="157" spans="1:15" s="51" customFormat="1" ht="39" customHeight="1" x14ac:dyDescent="0.3">
      <c r="A157" s="825">
        <v>3</v>
      </c>
      <c r="B157" s="885" t="str">
        <f>'ДШИ 3'!A8</f>
        <v>оплата водоснабжения и водоотведения</v>
      </c>
      <c r="C157" s="885"/>
      <c r="D157" s="885"/>
      <c r="E157" s="885"/>
      <c r="F157" s="825" t="str">
        <f>'ДШИ 3'!I8</f>
        <v>м3</v>
      </c>
      <c r="G157" s="908">
        <f>'ДШИ 3'!H8</f>
        <v>0.70964130387977431</v>
      </c>
      <c r="H157" s="908"/>
      <c r="I157" s="726">
        <f t="shared" si="9"/>
        <v>77.41</v>
      </c>
      <c r="J157" s="728">
        <f>'ДШИ 3'!J8</f>
        <v>54.93333333333333</v>
      </c>
      <c r="K157" s="719"/>
    </row>
    <row r="158" spans="1:15" s="51" customFormat="1" x14ac:dyDescent="0.3">
      <c r="A158" s="825"/>
      <c r="B158" s="1099" t="s">
        <v>63</v>
      </c>
      <c r="C158" s="1100"/>
      <c r="D158" s="1100"/>
      <c r="E158" s="1100"/>
      <c r="F158" s="1100"/>
      <c r="G158" s="1100"/>
      <c r="H158" s="1100"/>
      <c r="I158" s="1101"/>
      <c r="J158" s="728">
        <f>J155+J156+J157</f>
        <v>1593.3</v>
      </c>
      <c r="K158" s="719"/>
    </row>
    <row r="159" spans="1:15" s="51" customFormat="1" ht="41.25" customHeight="1" x14ac:dyDescent="0.3">
      <c r="A159" s="1096" t="s">
        <v>21</v>
      </c>
      <c r="B159" s="1097"/>
      <c r="C159" s="1097"/>
      <c r="D159" s="1097"/>
      <c r="E159" s="1097"/>
      <c r="F159" s="1097"/>
      <c r="G159" s="1097"/>
      <c r="H159" s="1097"/>
      <c r="I159" s="1097"/>
      <c r="J159" s="1098"/>
      <c r="K159" s="719"/>
    </row>
    <row r="160" spans="1:15" s="51" customFormat="1" ht="143.25" customHeight="1" x14ac:dyDescent="0.3">
      <c r="A160" s="825">
        <v>1</v>
      </c>
      <c r="B160" s="885" t="str">
        <f>'ДШИ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160" s="885"/>
      <c r="D160" s="885"/>
      <c r="E160" s="885"/>
      <c r="F160" s="825" t="str">
        <f>'ДШИ 3'!D11</f>
        <v>договор</v>
      </c>
      <c r="G160" s="911">
        <f>'ДШИ 3'!H11</f>
        <v>6.6666666666666671E-3</v>
      </c>
      <c r="H160" s="911"/>
      <c r="I160" s="726">
        <f>J160/G160</f>
        <v>18645</v>
      </c>
      <c r="J160" s="728">
        <f>'ДШИ 3'!J11</f>
        <v>124.3</v>
      </c>
      <c r="K160" s="719"/>
    </row>
    <row r="161" spans="1:11" s="51" customFormat="1" ht="93" hidden="1" customHeight="1" x14ac:dyDescent="0.3">
      <c r="A161" s="825">
        <v>3</v>
      </c>
      <c r="B161" s="885" t="str">
        <f>'ДШИ 3'!A13</f>
        <v>Техническое обслуживание и регламентно-профилактический ремонт, в том числе на подготовку отопительной системы к зимнему сезону</v>
      </c>
      <c r="C161" s="885"/>
      <c r="D161" s="885"/>
      <c r="E161" s="885"/>
      <c r="F161" s="825" t="str">
        <f>'ДШИ 3'!D13</f>
        <v>договор</v>
      </c>
      <c r="G161" s="911">
        <f>'ДШИ 3'!H12</f>
        <v>0</v>
      </c>
      <c r="H161" s="911"/>
      <c r="I161" s="726" t="e">
        <f t="shared" ref="I161:I164" si="10">J161/G161</f>
        <v>#DIV/0!</v>
      </c>
      <c r="J161" s="728">
        <f>'ДШИ 3'!J12</f>
        <v>0</v>
      </c>
      <c r="K161" s="719"/>
    </row>
    <row r="162" spans="1:11" s="51" customFormat="1" ht="58.5" customHeight="1" x14ac:dyDescent="0.3">
      <c r="A162" s="825">
        <v>2</v>
      </c>
      <c r="B162" s="885" t="str">
        <f>'ДШИ 3'!A14</f>
        <v>Техническое обслуживание и регламентно-профилактический ремонт электрооборудования</v>
      </c>
      <c r="C162" s="885"/>
      <c r="D162" s="885"/>
      <c r="E162" s="885"/>
      <c r="F162" s="825" t="str">
        <f>'ДШИ 3'!D14</f>
        <v>договор</v>
      </c>
      <c r="G162" s="911">
        <f>'ДШИ 3'!H13</f>
        <v>1.3333333333333334E-2</v>
      </c>
      <c r="H162" s="911"/>
      <c r="I162" s="726">
        <f t="shared" si="10"/>
        <v>15100</v>
      </c>
      <c r="J162" s="728">
        <f>'ДШИ 3'!J13</f>
        <v>201.33333333333334</v>
      </c>
      <c r="K162" s="719"/>
    </row>
    <row r="163" spans="1:11" s="51" customFormat="1" ht="38.25" customHeight="1" x14ac:dyDescent="0.3">
      <c r="A163" s="825">
        <v>3</v>
      </c>
      <c r="B163" s="885" t="str">
        <f>'ДШИ 3'!A15</f>
        <v>Вывоз твердых бытовых отходов, утилизация отходов</v>
      </c>
      <c r="C163" s="885"/>
      <c r="D163" s="885"/>
      <c r="E163" s="885"/>
      <c r="F163" s="825" t="str">
        <f>'ДШИ 3'!D15</f>
        <v>договор</v>
      </c>
      <c r="G163" s="911">
        <f>'ДШИ 3'!H14</f>
        <v>6.6666666666666671E-3</v>
      </c>
      <c r="H163" s="911"/>
      <c r="I163" s="726">
        <f t="shared" si="10"/>
        <v>13495</v>
      </c>
      <c r="J163" s="728">
        <f>'ДШИ 3'!J14</f>
        <v>89.966666666666669</v>
      </c>
      <c r="K163" s="719"/>
    </row>
    <row r="164" spans="1:11" s="51" customFormat="1" ht="26.25" customHeight="1" x14ac:dyDescent="0.3">
      <c r="A164" s="825">
        <v>4</v>
      </c>
      <c r="B164" s="885" t="str">
        <f>'ДШИ 3'!A16</f>
        <v>Прочие расходы</v>
      </c>
      <c r="C164" s="885"/>
      <c r="D164" s="885"/>
      <c r="E164" s="885"/>
      <c r="F164" s="825" t="s">
        <v>82</v>
      </c>
      <c r="G164" s="911">
        <f>'ДШИ 3'!H15</f>
        <v>6.6666666666666671E-3</v>
      </c>
      <c r="H164" s="911"/>
      <c r="I164" s="726">
        <f t="shared" si="10"/>
        <v>17297</v>
      </c>
      <c r="J164" s="728">
        <f>'ДШИ 3'!J15</f>
        <v>115.31333333333333</v>
      </c>
      <c r="K164" s="719"/>
    </row>
    <row r="165" spans="1:11" s="51" customFormat="1" x14ac:dyDescent="0.3">
      <c r="A165" s="825"/>
      <c r="B165" s="1099" t="s">
        <v>63</v>
      </c>
      <c r="C165" s="1100"/>
      <c r="D165" s="1100"/>
      <c r="E165" s="1100"/>
      <c r="F165" s="1100"/>
      <c r="G165" s="1100"/>
      <c r="H165" s="1100"/>
      <c r="I165" s="1101"/>
      <c r="J165" s="728">
        <f>J160+J162+J163+J164</f>
        <v>530.91333333333341</v>
      </c>
      <c r="K165" s="719"/>
    </row>
    <row r="166" spans="1:11" s="51" customFormat="1" ht="29.25" customHeight="1" x14ac:dyDescent="0.3">
      <c r="A166" s="1102" t="s">
        <v>22</v>
      </c>
      <c r="B166" s="1103"/>
      <c r="C166" s="1103"/>
      <c r="D166" s="1103"/>
      <c r="E166" s="1103"/>
      <c r="F166" s="1103"/>
      <c r="G166" s="1103"/>
      <c r="H166" s="1103"/>
      <c r="I166" s="1103"/>
      <c r="J166" s="1104"/>
      <c r="K166" s="719"/>
    </row>
    <row r="167" spans="1:11" s="51" customFormat="1" x14ac:dyDescent="0.3">
      <c r="A167" s="825">
        <v>1</v>
      </c>
      <c r="B167" s="885" t="str">
        <f>'ДШИ 3'!A23</f>
        <v>интернет</v>
      </c>
      <c r="C167" s="885"/>
      <c r="D167" s="885"/>
      <c r="E167" s="885"/>
      <c r="F167" s="825" t="str">
        <f>'ДШИ 3'!D23</f>
        <v>Г</v>
      </c>
      <c r="G167" s="908">
        <f>'ДШИ 3'!H23</f>
        <v>4.2777777777777777</v>
      </c>
      <c r="H167" s="908"/>
      <c r="I167" s="726">
        <f>J167/G167</f>
        <v>30.000000000000004</v>
      </c>
      <c r="J167" s="728">
        <f>'ДШИ 3'!J23</f>
        <v>128.33333333333334</v>
      </c>
      <c r="K167" s="719"/>
    </row>
    <row r="168" spans="1:11" s="51" customFormat="1" x14ac:dyDescent="0.3">
      <c r="A168" s="825">
        <v>2</v>
      </c>
      <c r="B168" s="885" t="str">
        <f>'ДШИ 3'!A24</f>
        <v>услуги связи</v>
      </c>
      <c r="C168" s="885"/>
      <c r="D168" s="885"/>
      <c r="E168" s="885"/>
      <c r="F168" s="825" t="str">
        <f>'ДШИ 3'!D24</f>
        <v>мин.</v>
      </c>
      <c r="G168" s="908">
        <f>'ДШИ 3'!H24</f>
        <v>94.611111111111114</v>
      </c>
      <c r="H168" s="908"/>
      <c r="I168" s="726">
        <f>J168/G168</f>
        <v>1.2</v>
      </c>
      <c r="J168" s="728">
        <f>'ДШИ 3'!J24</f>
        <v>113.53333333333333</v>
      </c>
      <c r="K168" s="719"/>
    </row>
    <row r="169" spans="1:11" s="51" customFormat="1" x14ac:dyDescent="0.3">
      <c r="A169" s="825"/>
      <c r="B169" s="1099" t="s">
        <v>63</v>
      </c>
      <c r="C169" s="1100"/>
      <c r="D169" s="1100"/>
      <c r="E169" s="1100"/>
      <c r="F169" s="1100"/>
      <c r="G169" s="1100"/>
      <c r="H169" s="1100"/>
      <c r="I169" s="1101"/>
      <c r="J169" s="728">
        <f>J167+J168</f>
        <v>241.86666666666667</v>
      </c>
      <c r="K169" s="719"/>
    </row>
    <row r="170" spans="1:11" s="51" customFormat="1" ht="18.75" customHeight="1" x14ac:dyDescent="0.3">
      <c r="A170" s="1102" t="s">
        <v>23</v>
      </c>
      <c r="B170" s="1103"/>
      <c r="C170" s="1103"/>
      <c r="D170" s="1103"/>
      <c r="E170" s="1103"/>
      <c r="F170" s="1103"/>
      <c r="G170" s="1103"/>
      <c r="H170" s="1103"/>
      <c r="I170" s="1103"/>
      <c r="J170" s="1104"/>
      <c r="K170" s="719"/>
    </row>
    <row r="171" spans="1:11" s="51" customFormat="1" ht="33" customHeight="1" x14ac:dyDescent="0.3">
      <c r="A171" s="825">
        <v>1</v>
      </c>
      <c r="B171" s="885" t="str">
        <f>'ДШИ 3'!A31</f>
        <v>Медицинский осмотр</v>
      </c>
      <c r="C171" s="885"/>
      <c r="D171" s="885"/>
      <c r="E171" s="885"/>
      <c r="F171" s="825" t="str">
        <f>'ДШИ 3'!I31</f>
        <v>чел.</v>
      </c>
      <c r="G171" s="909">
        <f>'ДШИ 3'!H31</f>
        <v>0.06</v>
      </c>
      <c r="H171" s="909"/>
      <c r="I171" s="726">
        <f>J171/G171</f>
        <v>3352</v>
      </c>
      <c r="J171" s="728">
        <f>'ДШИ 3'!J31</f>
        <v>201.12</v>
      </c>
      <c r="K171" s="719"/>
    </row>
    <row r="172" spans="1:11" s="51" customFormat="1" ht="105.75" customHeight="1" x14ac:dyDescent="0.3">
      <c r="A172" s="825">
        <v>2</v>
      </c>
      <c r="B172" s="885" t="str">
        <f>'ДШИ 3'!A32</f>
        <v>Производственный контроль, аккарицидная обработка, дератизация, дезинфекция и пр. санитарно-гигиенические меропориятия</v>
      </c>
      <c r="C172" s="885"/>
      <c r="D172" s="885"/>
      <c r="E172" s="885"/>
      <c r="F172" s="825" t="str">
        <f>'ДШИ 3'!I32</f>
        <v>договор</v>
      </c>
      <c r="G172" s="909">
        <f>'ДШИ 3'!H32</f>
        <v>6.6666666666666671E-3</v>
      </c>
      <c r="H172" s="909"/>
      <c r="I172" s="726">
        <f t="shared" ref="I172:I177" si="11">J172/G172</f>
        <v>24699.999999999996</v>
      </c>
      <c r="J172" s="728">
        <f>'ДШИ 3'!J32</f>
        <v>164.66666666666666</v>
      </c>
      <c r="K172" s="719"/>
    </row>
    <row r="173" spans="1:11" s="51" customFormat="1" ht="92.25" customHeight="1" x14ac:dyDescent="0.3">
      <c r="A173" s="825">
        <v>3</v>
      </c>
      <c r="B173" s="885" t="str">
        <f>'ДШИ 3'!A33</f>
        <v>Обучение персонала (электро, тепло, газовое хозяйство, пожарная безопасность, охрана труда и др.)</v>
      </c>
      <c r="C173" s="885"/>
      <c r="D173" s="885"/>
      <c r="E173" s="885"/>
      <c r="F173" s="825" t="str">
        <f>'ДШИ 3'!I33</f>
        <v>чел.</v>
      </c>
      <c r="G173" s="909">
        <f>'ДШИ 3'!H33</f>
        <v>5.0000000000000001E-3</v>
      </c>
      <c r="H173" s="909"/>
      <c r="I173" s="726">
        <f t="shared" si="11"/>
        <v>14986.666666666668</v>
      </c>
      <c r="J173" s="728">
        <f>'ДШИ 3'!J33</f>
        <v>74.933333333333337</v>
      </c>
      <c r="K173" s="719"/>
    </row>
    <row r="174" spans="1:11" s="51" customFormat="1" ht="54.75" customHeight="1" x14ac:dyDescent="0.3">
      <c r="A174" s="825">
        <v>4</v>
      </c>
      <c r="B174" s="885" t="str">
        <f>'ДШИ 3'!A34</f>
        <v>Обслуживание программных комплексов</v>
      </c>
      <c r="C174" s="885"/>
      <c r="D174" s="885"/>
      <c r="E174" s="885"/>
      <c r="F174" s="825" t="str">
        <f>'ДШИ 3'!I34</f>
        <v>договор</v>
      </c>
      <c r="G174" s="909">
        <f>'ДШИ 3'!H34</f>
        <v>3.3333333333333333E-2</v>
      </c>
      <c r="H174" s="909"/>
      <c r="I174" s="726">
        <f t="shared" si="11"/>
        <v>6594</v>
      </c>
      <c r="J174" s="728">
        <f>'ДШИ 3'!J34</f>
        <v>219.8</v>
      </c>
      <c r="K174" s="719"/>
    </row>
    <row r="175" spans="1:11" s="51" customFormat="1" ht="35.25" customHeight="1" x14ac:dyDescent="0.3">
      <c r="A175" s="825">
        <v>5</v>
      </c>
      <c r="B175" s="885" t="str">
        <f>'ДШИ 3'!A35</f>
        <v>Специальная оценка условий труда</v>
      </c>
      <c r="C175" s="885"/>
      <c r="D175" s="885"/>
      <c r="E175" s="885"/>
      <c r="F175" s="825" t="str">
        <f>'ДШИ 3'!I37</f>
        <v>договор</v>
      </c>
      <c r="G175" s="909">
        <f>'ДШИ 3'!H35</f>
        <v>4.5045045045045045E-3</v>
      </c>
      <c r="H175" s="909"/>
      <c r="I175" s="726">
        <f t="shared" si="11"/>
        <v>40700</v>
      </c>
      <c r="J175" s="728">
        <f>'ДШИ 3'!J35</f>
        <v>183.33333333333334</v>
      </c>
      <c r="K175" s="719"/>
    </row>
    <row r="176" spans="1:11" s="51" customFormat="1" ht="43.5" hidden="1" customHeight="1" x14ac:dyDescent="0.3">
      <c r="A176" s="825">
        <v>6</v>
      </c>
      <c r="B176" s="885">
        <f>'ДШИ 3'!A38</f>
        <v>0</v>
      </c>
      <c r="C176" s="885"/>
      <c r="D176" s="885"/>
      <c r="E176" s="885"/>
      <c r="F176" s="825">
        <f>'ДШИ 3'!I38</f>
        <v>0</v>
      </c>
      <c r="G176" s="909">
        <f>'ДШИ 3'!H36</f>
        <v>0</v>
      </c>
      <c r="H176" s="909"/>
      <c r="I176" s="726" t="e">
        <f t="shared" si="11"/>
        <v>#DIV/0!</v>
      </c>
      <c r="J176" s="728">
        <f>'ДШИ 3'!J36</f>
        <v>0</v>
      </c>
      <c r="K176" s="719"/>
    </row>
    <row r="177" spans="1:16" s="51" customFormat="1" ht="43.5" customHeight="1" x14ac:dyDescent="0.3">
      <c r="A177" s="825">
        <v>6</v>
      </c>
      <c r="B177" s="885" t="str">
        <f>'ДШИ 3'!A37</f>
        <v>Проверка и ремонт измерительных приборов</v>
      </c>
      <c r="C177" s="885"/>
      <c r="D177" s="885"/>
      <c r="E177" s="885"/>
      <c r="F177" s="825" t="s">
        <v>82</v>
      </c>
      <c r="G177" s="909">
        <f>'ДШИ 3'!H37</f>
        <v>6.6666666666666671E-3</v>
      </c>
      <c r="H177" s="909"/>
      <c r="I177" s="726">
        <f t="shared" si="11"/>
        <v>43960</v>
      </c>
      <c r="J177" s="728">
        <f>'ДШИ 3'!J37</f>
        <v>293.06666666666666</v>
      </c>
      <c r="K177" s="719"/>
    </row>
    <row r="178" spans="1:16" s="51" customFormat="1" x14ac:dyDescent="0.3">
      <c r="A178" s="734"/>
      <c r="B178" s="888" t="s">
        <v>63</v>
      </c>
      <c r="C178" s="1107"/>
      <c r="D178" s="1107"/>
      <c r="E178" s="1107"/>
      <c r="F178" s="1107"/>
      <c r="G178" s="1107"/>
      <c r="H178" s="1107"/>
      <c r="I178" s="889"/>
      <c r="J178" s="736">
        <f>J171+J172+J173+J174+J175+J177</f>
        <v>1136.92</v>
      </c>
      <c r="K178" s="719"/>
    </row>
    <row r="179" spans="1:16" s="51" customFormat="1" x14ac:dyDescent="0.3">
      <c r="A179" s="734"/>
      <c r="B179" s="888"/>
      <c r="C179" s="1107"/>
      <c r="D179" s="1107"/>
      <c r="E179" s="1107"/>
      <c r="F179" s="1107"/>
      <c r="G179" s="1107"/>
      <c r="H179" s="1107"/>
      <c r="I179" s="889"/>
      <c r="J179" s="736">
        <f>J135+J145+J153+J158+J165+J169+J178</f>
        <v>56692.589369369372</v>
      </c>
      <c r="K179" s="725">
        <f>J179*150</f>
        <v>8503888.4054054059</v>
      </c>
      <c r="P179" s="69">
        <f>K121+K179</f>
        <v>21295226.87793288</v>
      </c>
    </row>
    <row r="180" spans="1:16" s="51" customFormat="1" x14ac:dyDescent="0.3">
      <c r="A180" s="719"/>
      <c r="B180" s="719"/>
      <c r="C180" s="719"/>
      <c r="D180" s="719"/>
      <c r="E180" s="719"/>
      <c r="F180" s="719"/>
      <c r="G180" s="719"/>
      <c r="H180" s="719"/>
      <c r="I180" s="725"/>
      <c r="J180" s="725"/>
      <c r="K180" s="725"/>
    </row>
    <row r="181" spans="1:16" s="51" customFormat="1" x14ac:dyDescent="0.3">
      <c r="A181" s="719"/>
      <c r="B181" s="719"/>
      <c r="C181" s="719"/>
      <c r="D181" s="719"/>
      <c r="E181" s="719"/>
      <c r="F181" s="719"/>
      <c r="G181" s="719"/>
      <c r="H181" s="719"/>
      <c r="I181" s="725"/>
      <c r="J181" s="725"/>
      <c r="K181" s="725"/>
    </row>
    <row r="182" spans="1:16" s="51" customFormat="1" x14ac:dyDescent="0.3">
      <c r="A182" s="901" t="s">
        <v>4</v>
      </c>
      <c r="B182" s="901"/>
      <c r="C182" s="901"/>
      <c r="D182" s="901"/>
      <c r="E182" s="901"/>
      <c r="F182" s="901"/>
      <c r="G182" s="901"/>
      <c r="H182" s="901"/>
      <c r="I182" s="901"/>
      <c r="J182" s="901"/>
      <c r="K182" s="725"/>
    </row>
    <row r="183" spans="1:16" s="51" customFormat="1" x14ac:dyDescent="0.3">
      <c r="A183" s="901" t="s">
        <v>5</v>
      </c>
      <c r="B183" s="901"/>
      <c r="C183" s="901"/>
      <c r="D183" s="901"/>
      <c r="E183" s="901"/>
      <c r="F183" s="901"/>
      <c r="G183" s="901"/>
      <c r="H183" s="901"/>
      <c r="I183" s="901"/>
      <c r="J183" s="901"/>
      <c r="K183" s="719"/>
    </row>
    <row r="184" spans="1:16" s="51" customFormat="1" x14ac:dyDescent="0.3">
      <c r="A184" s="901" t="s">
        <v>6</v>
      </c>
      <c r="B184" s="901"/>
      <c r="C184" s="901"/>
      <c r="D184" s="901"/>
      <c r="E184" s="901"/>
      <c r="F184" s="901"/>
      <c r="G184" s="901"/>
      <c r="H184" s="901"/>
      <c r="I184" s="901"/>
      <c r="J184" s="901"/>
      <c r="K184" s="719"/>
    </row>
    <row r="185" spans="1:16" s="51" customFormat="1" x14ac:dyDescent="0.3">
      <c r="A185" s="910" t="s">
        <v>281</v>
      </c>
      <c r="B185" s="910"/>
      <c r="C185" s="910"/>
      <c r="D185" s="910"/>
      <c r="E185" s="910"/>
      <c r="F185" s="910"/>
      <c r="G185" s="910"/>
      <c r="H185" s="910"/>
      <c r="I185" s="910"/>
      <c r="J185" s="910"/>
      <c r="K185" s="719"/>
    </row>
    <row r="186" spans="1:16" s="51" customFormat="1" x14ac:dyDescent="0.3">
      <c r="A186" s="903" t="s">
        <v>282</v>
      </c>
      <c r="B186" s="903"/>
      <c r="C186" s="903"/>
      <c r="D186" s="903"/>
      <c r="E186" s="903"/>
      <c r="F186" s="903"/>
      <c r="G186" s="903"/>
      <c r="H186" s="903"/>
      <c r="I186" s="903"/>
      <c r="J186" s="903"/>
      <c r="K186" s="719"/>
    </row>
    <row r="187" spans="1:16" s="51" customFormat="1" x14ac:dyDescent="0.3">
      <c r="A187" s="1095" t="s">
        <v>294</v>
      </c>
      <c r="B187" s="1095"/>
      <c r="C187" s="1095"/>
      <c r="D187" s="1095"/>
      <c r="E187" s="1095"/>
      <c r="F187" s="1095"/>
      <c r="G187" s="1095"/>
      <c r="H187" s="1095"/>
      <c r="I187" s="1095"/>
      <c r="J187" s="1095"/>
      <c r="K187" s="719"/>
      <c r="M187" s="1119" t="s">
        <v>122</v>
      </c>
      <c r="N187" s="1119"/>
      <c r="O187" s="1119"/>
    </row>
    <row r="188" spans="1:16" s="51" customFormat="1" x14ac:dyDescent="0.3">
      <c r="A188" s="719"/>
      <c r="B188" s="719"/>
      <c r="C188" s="719"/>
      <c r="D188" s="719"/>
      <c r="E188" s="719"/>
      <c r="F188" s="719"/>
      <c r="G188" s="719"/>
      <c r="H188" s="719"/>
      <c r="I188" s="725"/>
      <c r="J188" s="733"/>
      <c r="K188" s="719"/>
    </row>
    <row r="189" spans="1:16" s="51" customFormat="1" ht="75" customHeight="1" x14ac:dyDescent="0.3">
      <c r="A189" s="826" t="s">
        <v>9</v>
      </c>
      <c r="B189" s="883" t="s">
        <v>10</v>
      </c>
      <c r="C189" s="883"/>
      <c r="D189" s="883"/>
      <c r="E189" s="883"/>
      <c r="F189" s="826" t="s">
        <v>11</v>
      </c>
      <c r="G189" s="883" t="s">
        <v>12</v>
      </c>
      <c r="H189" s="883"/>
      <c r="I189" s="726" t="s">
        <v>31</v>
      </c>
      <c r="J189" s="726" t="s">
        <v>32</v>
      </c>
      <c r="K189" s="719"/>
    </row>
    <row r="190" spans="1:16" s="51" customFormat="1" x14ac:dyDescent="0.3">
      <c r="A190" s="825">
        <v>1</v>
      </c>
      <c r="B190" s="884">
        <v>2</v>
      </c>
      <c r="C190" s="884"/>
      <c r="D190" s="884"/>
      <c r="E190" s="884"/>
      <c r="F190" s="825">
        <v>3</v>
      </c>
      <c r="G190" s="884">
        <v>3</v>
      </c>
      <c r="H190" s="884"/>
      <c r="I190" s="726">
        <v>4</v>
      </c>
      <c r="J190" s="727">
        <v>5</v>
      </c>
      <c r="K190" s="719"/>
    </row>
    <row r="191" spans="1:16" s="51" customFormat="1" ht="18.75" customHeight="1" x14ac:dyDescent="0.3">
      <c r="A191" s="1096" t="s">
        <v>18</v>
      </c>
      <c r="B191" s="1097"/>
      <c r="C191" s="1097"/>
      <c r="D191" s="1097"/>
      <c r="E191" s="1097"/>
      <c r="F191" s="1097"/>
      <c r="G191" s="1097"/>
      <c r="H191" s="1097"/>
      <c r="I191" s="1097"/>
      <c r="J191" s="1098"/>
      <c r="K191" s="719"/>
    </row>
    <row r="192" spans="1:16" s="51" customFormat="1" ht="18.75" customHeight="1" x14ac:dyDescent="0.3">
      <c r="A192" s="1102" t="s">
        <v>14</v>
      </c>
      <c r="B192" s="1103"/>
      <c r="C192" s="1103"/>
      <c r="D192" s="1103"/>
      <c r="E192" s="1103"/>
      <c r="F192" s="1103"/>
      <c r="G192" s="1103"/>
      <c r="H192" s="1103"/>
      <c r="I192" s="1103"/>
      <c r="J192" s="1104"/>
      <c r="K192" s="719"/>
    </row>
    <row r="193" spans="1:11" s="51" customFormat="1" x14ac:dyDescent="0.3">
      <c r="A193" s="825">
        <v>1</v>
      </c>
      <c r="B193" s="885" t="str">
        <f>КДЦ!B4</f>
        <v>звукооператор</v>
      </c>
      <c r="C193" s="885"/>
      <c r="D193" s="885"/>
      <c r="E193" s="885"/>
      <c r="F193" s="825" t="s">
        <v>162</v>
      </c>
      <c r="G193" s="908">
        <f>КДЦ!D4</f>
        <v>4.6857142857142854E-2</v>
      </c>
      <c r="H193" s="908"/>
      <c r="I193" s="829">
        <f>J193/G193</f>
        <v>200.00000000000003</v>
      </c>
      <c r="J193" s="728">
        <f>КДЦ!F4</f>
        <v>9.3714285714285719</v>
      </c>
      <c r="K193" s="719"/>
    </row>
    <row r="194" spans="1:11" s="51" customFormat="1" ht="45" customHeight="1" x14ac:dyDescent="0.3">
      <c r="A194" s="825">
        <v>2</v>
      </c>
      <c r="B194" s="885" t="str">
        <f>КДЦ!B5</f>
        <v>менеджер по культурно-массовому досугу 2 категории</v>
      </c>
      <c r="C194" s="885"/>
      <c r="D194" s="885"/>
      <c r="E194" s="885"/>
      <c r="F194" s="825" t="s">
        <v>162</v>
      </c>
      <c r="G194" s="1116">
        <f>КДЦ!D5</f>
        <v>9.3714285714285708E-2</v>
      </c>
      <c r="H194" s="1117"/>
      <c r="I194" s="829">
        <f t="shared" ref="I194:I199" si="12">J194/G194</f>
        <v>200.00000000000003</v>
      </c>
      <c r="J194" s="728">
        <f>КДЦ!F5</f>
        <v>18.742857142857144</v>
      </c>
      <c r="K194" s="719"/>
    </row>
    <row r="195" spans="1:11" s="51" customFormat="1" ht="24" customHeight="1" x14ac:dyDescent="0.3">
      <c r="A195" s="825">
        <v>3</v>
      </c>
      <c r="B195" s="885" t="str">
        <f>КДЦ!B6</f>
        <v>художник-оформитель</v>
      </c>
      <c r="C195" s="885"/>
      <c r="D195" s="885"/>
      <c r="E195" s="885"/>
      <c r="F195" s="825" t="s">
        <v>162</v>
      </c>
      <c r="G195" s="1116">
        <f>КДЦ!D6</f>
        <v>4.6857142857142854E-2</v>
      </c>
      <c r="H195" s="1117"/>
      <c r="I195" s="829">
        <f t="shared" si="12"/>
        <v>200.00000000000003</v>
      </c>
      <c r="J195" s="728">
        <f>КДЦ!F6</f>
        <v>9.3714285714285719</v>
      </c>
      <c r="K195" s="719"/>
    </row>
    <row r="196" spans="1:11" s="51" customFormat="1" ht="21.75" customHeight="1" x14ac:dyDescent="0.3">
      <c r="A196" s="825">
        <v>4</v>
      </c>
      <c r="B196" s="885" t="str">
        <f>КДЦ!B7</f>
        <v>киномеханик</v>
      </c>
      <c r="C196" s="885"/>
      <c r="D196" s="885"/>
      <c r="E196" s="885"/>
      <c r="F196" s="825" t="s">
        <v>162</v>
      </c>
      <c r="G196" s="1116">
        <f>КДЦ!D7</f>
        <v>0.46857142857142858</v>
      </c>
      <c r="H196" s="1117"/>
      <c r="I196" s="829">
        <f t="shared" si="12"/>
        <v>199.99999999999997</v>
      </c>
      <c r="J196" s="728">
        <f>КДЦ!F7</f>
        <v>93.714285714285708</v>
      </c>
      <c r="K196" s="719"/>
    </row>
    <row r="197" spans="1:11" s="51" customFormat="1" x14ac:dyDescent="0.3">
      <c r="A197" s="825">
        <v>5</v>
      </c>
      <c r="B197" s="885" t="str">
        <f>КДЦ!B8</f>
        <v>кассир билетный</v>
      </c>
      <c r="C197" s="885"/>
      <c r="D197" s="885"/>
      <c r="E197" s="885"/>
      <c r="F197" s="825" t="s">
        <v>162</v>
      </c>
      <c r="G197" s="1116">
        <f>КДЦ!D8</f>
        <v>0.34628571428571431</v>
      </c>
      <c r="H197" s="1117"/>
      <c r="I197" s="829">
        <f t="shared" si="12"/>
        <v>199.99999999999997</v>
      </c>
      <c r="J197" s="728">
        <f>КДЦ!F8</f>
        <v>69.257142857142853</v>
      </c>
      <c r="K197" s="719"/>
    </row>
    <row r="198" spans="1:11" s="51" customFormat="1" x14ac:dyDescent="0.3">
      <c r="A198" s="825">
        <v>6</v>
      </c>
      <c r="B198" s="885" t="str">
        <f>КДЦ!B9</f>
        <v>Старший кассир</v>
      </c>
      <c r="C198" s="885"/>
      <c r="D198" s="885"/>
      <c r="E198" s="885"/>
      <c r="F198" s="825" t="s">
        <v>162</v>
      </c>
      <c r="G198" s="1116">
        <f>КДЦ!D9</f>
        <v>9.3714285714285708E-2</v>
      </c>
      <c r="H198" s="1117"/>
      <c r="I198" s="829">
        <f t="shared" si="12"/>
        <v>100.00000000000001</v>
      </c>
      <c r="J198" s="728">
        <f>КДЦ!F9</f>
        <v>9.3714285714285719</v>
      </c>
      <c r="K198" s="719"/>
    </row>
    <row r="199" spans="1:11" s="51" customFormat="1" x14ac:dyDescent="0.3">
      <c r="A199" s="825">
        <v>7</v>
      </c>
      <c r="B199" s="885" t="str">
        <f>КДЦ!B10</f>
        <v>механик по обслуживанию кинотелевизионного оборудования</v>
      </c>
      <c r="C199" s="885"/>
      <c r="D199" s="885"/>
      <c r="E199" s="885"/>
      <c r="F199" s="825" t="s">
        <v>162</v>
      </c>
      <c r="G199" s="1116">
        <f>КДЦ!D10</f>
        <v>9.3714285714285708E-2</v>
      </c>
      <c r="H199" s="1117"/>
      <c r="I199" s="829">
        <f t="shared" si="12"/>
        <v>100.00000000000001</v>
      </c>
      <c r="J199" s="728">
        <f>КДЦ!F10</f>
        <v>9.3714285714285719</v>
      </c>
      <c r="K199" s="719"/>
    </row>
    <row r="200" spans="1:11" s="51" customFormat="1" x14ac:dyDescent="0.3">
      <c r="A200" s="825"/>
      <c r="B200" s="885" t="s">
        <v>63</v>
      </c>
      <c r="C200" s="885"/>
      <c r="D200" s="885"/>
      <c r="E200" s="885"/>
      <c r="F200" s="825"/>
      <c r="G200" s="909"/>
      <c r="H200" s="909"/>
      <c r="I200" s="829"/>
      <c r="J200" s="728">
        <f>J193+J194+J195+J196+J197+J198+J199</f>
        <v>219.2</v>
      </c>
      <c r="K200" s="719"/>
    </row>
    <row r="201" spans="1:11" s="51" customFormat="1" ht="73.5" customHeight="1" x14ac:dyDescent="0.3">
      <c r="A201" s="1102" t="s">
        <v>15</v>
      </c>
      <c r="B201" s="1103"/>
      <c r="C201" s="1103"/>
      <c r="D201" s="1103"/>
      <c r="E201" s="1103"/>
      <c r="F201" s="1103"/>
      <c r="G201" s="1103"/>
      <c r="H201" s="1103"/>
      <c r="I201" s="1103"/>
      <c r="J201" s="1104"/>
      <c r="K201" s="719"/>
    </row>
    <row r="202" spans="1:11" s="51" customFormat="1" x14ac:dyDescent="0.3">
      <c r="A202" s="825">
        <v>1</v>
      </c>
      <c r="B202" s="885" t="str">
        <f>'КДЦ 2'!A5</f>
        <v>ксеноновая лампа</v>
      </c>
      <c r="C202" s="885"/>
      <c r="D202" s="885"/>
      <c r="E202" s="885"/>
      <c r="F202" s="827" t="str">
        <f>'КДЦ 2'!V5</f>
        <v>шт.</v>
      </c>
      <c r="G202" s="909">
        <f>'КДЦ 2'!C5</f>
        <v>1E-3</v>
      </c>
      <c r="H202" s="909"/>
      <c r="I202" s="829">
        <f>J202/G202</f>
        <v>17123.142857142855</v>
      </c>
      <c r="J202" s="728">
        <f>'КДЦ 2'!D5</f>
        <v>17.123142857142856</v>
      </c>
      <c r="K202" s="719"/>
    </row>
    <row r="203" spans="1:11" s="51" customFormat="1" x14ac:dyDescent="0.3">
      <c r="A203" s="825">
        <v>2</v>
      </c>
      <c r="B203" s="885" t="str">
        <f>'КДЦ 2'!A6</f>
        <v>очки</v>
      </c>
      <c r="C203" s="885"/>
      <c r="D203" s="885"/>
      <c r="E203" s="885"/>
      <c r="F203" s="827" t="str">
        <f>'КДЦ 2'!V6</f>
        <v>шт.</v>
      </c>
      <c r="G203" s="909">
        <f>'КДЦ 2'!C6</f>
        <v>7.0000000000000001E-3</v>
      </c>
      <c r="H203" s="909"/>
      <c r="I203" s="829">
        <f t="shared" ref="I203:I205" si="13">J203/G203</f>
        <v>340.13605442176868</v>
      </c>
      <c r="J203" s="728">
        <f>'КДЦ 2'!D6</f>
        <v>2.3809523809523809</v>
      </c>
      <c r="K203" s="719"/>
    </row>
    <row r="204" spans="1:11" s="51" customFormat="1" x14ac:dyDescent="0.3">
      <c r="A204" s="825">
        <v>3</v>
      </c>
      <c r="B204" s="885" t="str">
        <f>'КДЦ 2'!A7</f>
        <v>салфетки (для очков)</v>
      </c>
      <c r="C204" s="885"/>
      <c r="D204" s="885"/>
      <c r="E204" s="885"/>
      <c r="F204" s="827" t="str">
        <f>'КДЦ 2'!V7</f>
        <v>уп.</v>
      </c>
      <c r="G204" s="909">
        <f>'КДЦ 2'!C7</f>
        <v>1</v>
      </c>
      <c r="H204" s="909"/>
      <c r="I204" s="829">
        <f t="shared" si="13"/>
        <v>2.2666666666666666</v>
      </c>
      <c r="J204" s="728">
        <f>'КДЦ 2'!D7</f>
        <v>2.2666666666666666</v>
      </c>
      <c r="K204" s="719"/>
    </row>
    <row r="205" spans="1:11" s="51" customFormat="1" ht="18.75" customHeight="1" x14ac:dyDescent="0.3">
      <c r="A205" s="825">
        <v>4</v>
      </c>
      <c r="B205" s="885" t="str">
        <f>'КДЦ 2'!A8</f>
        <v>бумага гигиеническая</v>
      </c>
      <c r="C205" s="885"/>
      <c r="D205" s="885"/>
      <c r="E205" s="885"/>
      <c r="F205" s="827" t="str">
        <f>'КДЦ 2'!V8</f>
        <v>уп.</v>
      </c>
      <c r="G205" s="909">
        <f>'КДЦ 2'!C8</f>
        <v>4.4999999999999997E-3</v>
      </c>
      <c r="H205" s="909"/>
      <c r="I205" s="829">
        <f t="shared" si="13"/>
        <v>50.010582010582006</v>
      </c>
      <c r="J205" s="728">
        <f>'КДЦ 2'!D8</f>
        <v>0.225047619047619</v>
      </c>
      <c r="K205" s="719"/>
    </row>
    <row r="206" spans="1:11" s="51" customFormat="1" x14ac:dyDescent="0.3">
      <c r="A206" s="825"/>
      <c r="B206" s="885"/>
      <c r="C206" s="885"/>
      <c r="D206" s="885"/>
      <c r="E206" s="885"/>
      <c r="F206" s="827"/>
      <c r="G206" s="909"/>
      <c r="H206" s="909"/>
      <c r="I206" s="829"/>
      <c r="J206" s="728"/>
      <c r="K206" s="719"/>
    </row>
    <row r="207" spans="1:11" s="51" customFormat="1" ht="18.75" customHeight="1" x14ac:dyDescent="0.3">
      <c r="A207" s="825"/>
      <c r="B207" s="1099" t="s">
        <v>63</v>
      </c>
      <c r="C207" s="1100"/>
      <c r="D207" s="1100"/>
      <c r="E207" s="1100"/>
      <c r="F207" s="1100"/>
      <c r="G207" s="1100"/>
      <c r="H207" s="1100"/>
      <c r="I207" s="1101"/>
      <c r="J207" s="728">
        <f>J202+J203+J204+J205</f>
        <v>21.99580952380952</v>
      </c>
      <c r="K207" s="719"/>
    </row>
    <row r="208" spans="1:11" s="51" customFormat="1" ht="65.25" customHeight="1" x14ac:dyDescent="0.3">
      <c r="A208" s="1102" t="s">
        <v>16</v>
      </c>
      <c r="B208" s="1103"/>
      <c r="C208" s="1103"/>
      <c r="D208" s="1103"/>
      <c r="E208" s="1103"/>
      <c r="F208" s="1103"/>
      <c r="G208" s="1103"/>
      <c r="H208" s="1103"/>
      <c r="I208" s="1103"/>
      <c r="J208" s="1104"/>
      <c r="K208" s="719"/>
    </row>
    <row r="209" spans="1:11" s="51" customFormat="1" x14ac:dyDescent="0.3">
      <c r="A209" s="825">
        <v>1</v>
      </c>
      <c r="B209" s="885" t="str">
        <f>'КДЦ 2'!A14</f>
        <v>бланки билетов</v>
      </c>
      <c r="C209" s="885"/>
      <c r="D209" s="885"/>
      <c r="E209" s="885"/>
      <c r="F209" s="825" t="str">
        <f>'КДЦ 2'!V14</f>
        <v>шт</v>
      </c>
      <c r="G209" s="908">
        <f>'КДЦ 2'!C14</f>
        <v>0.32380952380952382</v>
      </c>
      <c r="H209" s="908"/>
      <c r="I209" s="829">
        <f>J209/G209</f>
        <v>10</v>
      </c>
      <c r="J209" s="728">
        <f>'КДЦ 2'!D14</f>
        <v>3.2380952380952381</v>
      </c>
      <c r="K209" s="719"/>
    </row>
    <row r="210" spans="1:11" s="51" customFormat="1" x14ac:dyDescent="0.3">
      <c r="A210" s="825"/>
      <c r="B210" s="1099" t="s">
        <v>63</v>
      </c>
      <c r="C210" s="1100"/>
      <c r="D210" s="1100"/>
      <c r="E210" s="1100"/>
      <c r="F210" s="1100"/>
      <c r="G210" s="1100"/>
      <c r="H210" s="1100"/>
      <c r="I210" s="1101"/>
      <c r="J210" s="728">
        <f>J209</f>
        <v>3.2380952380952381</v>
      </c>
      <c r="K210" s="719"/>
    </row>
    <row r="211" spans="1:11" s="51" customFormat="1" ht="18.75" customHeight="1" x14ac:dyDescent="0.3">
      <c r="A211" s="1096" t="s">
        <v>17</v>
      </c>
      <c r="B211" s="1097"/>
      <c r="C211" s="1097"/>
      <c r="D211" s="1097"/>
      <c r="E211" s="1097"/>
      <c r="F211" s="1097"/>
      <c r="G211" s="1097"/>
      <c r="H211" s="1097"/>
      <c r="I211" s="1097"/>
      <c r="J211" s="1098"/>
      <c r="K211" s="719"/>
    </row>
    <row r="212" spans="1:11" s="51" customFormat="1" ht="48.75" customHeight="1" x14ac:dyDescent="0.3">
      <c r="A212" s="896" t="s">
        <v>19</v>
      </c>
      <c r="B212" s="897"/>
      <c r="C212" s="897"/>
      <c r="D212" s="897"/>
      <c r="E212" s="897"/>
      <c r="F212" s="897"/>
      <c r="G212" s="897"/>
      <c r="H212" s="897"/>
      <c r="I212" s="897"/>
      <c r="J212" s="728"/>
      <c r="K212" s="719"/>
    </row>
    <row r="213" spans="1:11" s="51" customFormat="1" ht="34.5" customHeight="1" x14ac:dyDescent="0.3">
      <c r="A213" s="825">
        <v>1</v>
      </c>
      <c r="B213" s="885" t="str">
        <f>КДЦ3!A27</f>
        <v>Административно-управленческий персонал</v>
      </c>
      <c r="C213" s="885"/>
      <c r="D213" s="885"/>
      <c r="E213" s="885"/>
      <c r="F213" s="825" t="s">
        <v>162</v>
      </c>
      <c r="G213" s="908">
        <f>КДЦ3!C27</f>
        <v>0.18438095238095237</v>
      </c>
      <c r="H213" s="908"/>
      <c r="I213" s="829">
        <f>J213/G213</f>
        <v>64.328856749311299</v>
      </c>
      <c r="J213" s="728">
        <f>КДЦ3!E27</f>
        <v>11.861015873015873</v>
      </c>
      <c r="K213" s="719"/>
    </row>
    <row r="214" spans="1:11" s="51" customFormat="1" ht="18.75" customHeight="1" x14ac:dyDescent="0.3">
      <c r="A214" s="825">
        <v>2</v>
      </c>
      <c r="B214" s="885" t="str">
        <f>КДЦ3!A28</f>
        <v>Прочий персонал</v>
      </c>
      <c r="C214" s="885"/>
      <c r="D214" s="885"/>
      <c r="E214" s="885"/>
      <c r="F214" s="825" t="s">
        <v>162</v>
      </c>
      <c r="G214" s="908">
        <f>КДЦ3!C28</f>
        <v>1.1995238095238094</v>
      </c>
      <c r="H214" s="908"/>
      <c r="I214" s="829">
        <f>J214/G214</f>
        <v>9.2090776763265847</v>
      </c>
      <c r="J214" s="728">
        <f>КДЦ3!E28</f>
        <v>11.046507936507936</v>
      </c>
      <c r="K214" s="719"/>
    </row>
    <row r="215" spans="1:11" s="51" customFormat="1" ht="18.75" customHeight="1" x14ac:dyDescent="0.3">
      <c r="A215" s="825"/>
      <c r="B215" s="1099" t="s">
        <v>63</v>
      </c>
      <c r="C215" s="1100"/>
      <c r="D215" s="1100"/>
      <c r="E215" s="1100"/>
      <c r="F215" s="1100"/>
      <c r="G215" s="1100"/>
      <c r="H215" s="1100"/>
      <c r="I215" s="1101"/>
      <c r="J215" s="728">
        <f>J213+J214</f>
        <v>22.907523809523809</v>
      </c>
      <c r="K215" s="719"/>
    </row>
    <row r="216" spans="1:11" s="51" customFormat="1" ht="23.25" customHeight="1" x14ac:dyDescent="0.3">
      <c r="A216" s="1102" t="s">
        <v>20</v>
      </c>
      <c r="B216" s="1103"/>
      <c r="C216" s="1103"/>
      <c r="D216" s="1103"/>
      <c r="E216" s="1103"/>
      <c r="F216" s="1103"/>
      <c r="G216" s="1103"/>
      <c r="H216" s="1103"/>
      <c r="I216" s="1103"/>
      <c r="J216" s="1104"/>
      <c r="K216" s="719"/>
    </row>
    <row r="217" spans="1:11" s="51" customFormat="1" ht="22.5" customHeight="1" x14ac:dyDescent="0.3">
      <c r="A217" s="825">
        <v>1</v>
      </c>
      <c r="B217" s="885" t="str">
        <f>КДЦ3!A6</f>
        <v>оплата потребления газа</v>
      </c>
      <c r="C217" s="885"/>
      <c r="D217" s="885"/>
      <c r="E217" s="885"/>
      <c r="F217" s="825" t="str">
        <f>КДЦ3!D6</f>
        <v>м3</v>
      </c>
      <c r="G217" s="911">
        <f>КДЦ3!C6</f>
        <v>1.8192690231216863E-3</v>
      </c>
      <c r="H217" s="911"/>
      <c r="I217" s="829">
        <f>J217/G217</f>
        <v>5731.1</v>
      </c>
      <c r="J217" s="728">
        <f>КДЦ3!E6</f>
        <v>10.426412698412697</v>
      </c>
      <c r="K217" s="719"/>
    </row>
    <row r="218" spans="1:11" s="51" customFormat="1" ht="38.25" customHeight="1" x14ac:dyDescent="0.3">
      <c r="A218" s="825">
        <v>2</v>
      </c>
      <c r="B218" s="885" t="str">
        <f>КДЦ3!A7</f>
        <v>оплата потребления электрической энергии</v>
      </c>
      <c r="C218" s="885"/>
      <c r="D218" s="885"/>
      <c r="E218" s="885"/>
      <c r="F218" s="825" t="str">
        <f>КДЦ3!D7</f>
        <v>кват/ч</v>
      </c>
      <c r="G218" s="911">
        <f>КДЦ3!C7</f>
        <v>1.2272950417280315</v>
      </c>
      <c r="H218" s="911"/>
      <c r="I218" s="829">
        <f t="shared" ref="I218:I219" si="14">J218/G218</f>
        <v>7.76</v>
      </c>
      <c r="J218" s="728">
        <f>КДЦ3!E7</f>
        <v>9.5238095238095237</v>
      </c>
      <c r="K218" s="719"/>
    </row>
    <row r="219" spans="1:11" s="51" customFormat="1" ht="24" customHeight="1" x14ac:dyDescent="0.3">
      <c r="A219" s="825">
        <v>3</v>
      </c>
      <c r="B219" s="885" t="str">
        <f>КДЦ3!A8</f>
        <v>оплата потребления водоснабжения</v>
      </c>
      <c r="C219" s="885"/>
      <c r="D219" s="885"/>
      <c r="E219" s="885"/>
      <c r="F219" s="825" t="str">
        <f>КДЦ3!D8</f>
        <v>м3</v>
      </c>
      <c r="G219" s="911">
        <f>КДЦ3!C8</f>
        <v>7.9295695631401899E-3</v>
      </c>
      <c r="H219" s="911"/>
      <c r="I219" s="829">
        <f t="shared" si="14"/>
        <v>80.069999999999993</v>
      </c>
      <c r="J219" s="728">
        <f>КДЦ3!E8</f>
        <v>0.634920634920635</v>
      </c>
      <c r="K219" s="719"/>
    </row>
    <row r="220" spans="1:11" s="51" customFormat="1" x14ac:dyDescent="0.3">
      <c r="A220" s="825"/>
      <c r="B220" s="1099" t="s">
        <v>63</v>
      </c>
      <c r="C220" s="1100"/>
      <c r="D220" s="1100"/>
      <c r="E220" s="1100"/>
      <c r="F220" s="1100"/>
      <c r="G220" s="1100"/>
      <c r="H220" s="1100"/>
      <c r="I220" s="1101"/>
      <c r="J220" s="728">
        <f>J217+J218+J219</f>
        <v>20.585142857142859</v>
      </c>
      <c r="K220" s="719"/>
    </row>
    <row r="221" spans="1:11" s="51" customFormat="1" ht="45" customHeight="1" x14ac:dyDescent="0.3">
      <c r="A221" s="1096" t="s">
        <v>21</v>
      </c>
      <c r="B221" s="1097"/>
      <c r="C221" s="1097"/>
      <c r="D221" s="1097"/>
      <c r="E221" s="1097"/>
      <c r="F221" s="1097"/>
      <c r="G221" s="1097"/>
      <c r="H221" s="1097"/>
      <c r="I221" s="1097"/>
      <c r="J221" s="1098"/>
      <c r="K221" s="719"/>
    </row>
    <row r="222" spans="1:11" s="51" customFormat="1" ht="156.75" customHeight="1" x14ac:dyDescent="0.3">
      <c r="A222" s="825">
        <v>1</v>
      </c>
      <c r="B222" s="885" t="str">
        <f>КДЦ3!A11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222" s="885"/>
      <c r="D222" s="885"/>
      <c r="E222" s="885"/>
      <c r="F222" s="825" t="str">
        <f>КДЦ3!D11</f>
        <v>договор</v>
      </c>
      <c r="G222" s="911">
        <f>КДЦ3!C11</f>
        <v>9.5238095238095241E-5</v>
      </c>
      <c r="H222" s="911"/>
      <c r="I222" s="829">
        <f>J222/G222</f>
        <v>23999.999999999996</v>
      </c>
      <c r="J222" s="728">
        <f>КДЦ3!E11</f>
        <v>2.2857142857142856</v>
      </c>
      <c r="K222" s="719"/>
    </row>
    <row r="223" spans="1:11" s="51" customFormat="1" ht="71.25" customHeight="1" x14ac:dyDescent="0.3">
      <c r="A223" s="825">
        <v>2</v>
      </c>
      <c r="B223" s="885" t="str">
        <f>КДЦ3!A12</f>
        <v>Техническое обслуживание газового оборудования, дымоходов</v>
      </c>
      <c r="C223" s="885"/>
      <c r="D223" s="885"/>
      <c r="E223" s="885"/>
      <c r="F223" s="825" t="str">
        <f>КДЦ3!D12</f>
        <v>договор</v>
      </c>
      <c r="G223" s="911">
        <f>КДЦ3!C12</f>
        <v>9.5238095238095241E-5</v>
      </c>
      <c r="H223" s="911"/>
      <c r="I223" s="829">
        <f t="shared" ref="I223:I227" si="15">J223/G223</f>
        <v>10666.666666666666</v>
      </c>
      <c r="J223" s="728">
        <f>КДЦ3!E12</f>
        <v>1.0158730158730158</v>
      </c>
      <c r="K223" s="719"/>
    </row>
    <row r="224" spans="1:11" s="51" customFormat="1" ht="119.25" customHeight="1" x14ac:dyDescent="0.3">
      <c r="A224" s="825">
        <v>3</v>
      </c>
      <c r="B224" s="885" t="str">
        <f>КДЦ3!A13</f>
        <v>Техническое обслуживание и регламентно-профилактический ремонт, в том числе на подготовку отопительной системы к зимнему сезону</v>
      </c>
      <c r="C224" s="885"/>
      <c r="D224" s="885"/>
      <c r="E224" s="885"/>
      <c r="F224" s="825" t="str">
        <f>КДЦ3!D13</f>
        <v>договор</v>
      </c>
      <c r="G224" s="911">
        <f>КДЦ3!C13</f>
        <v>9.5238095238095241E-5</v>
      </c>
      <c r="H224" s="911"/>
      <c r="I224" s="829">
        <f t="shared" si="15"/>
        <v>33333.333333333336</v>
      </c>
      <c r="J224" s="728">
        <f>КДЦ3!E13</f>
        <v>3.1746031746031749</v>
      </c>
      <c r="K224" s="719"/>
    </row>
    <row r="225" spans="1:11" s="51" customFormat="1" ht="91.5" customHeight="1" x14ac:dyDescent="0.3">
      <c r="A225" s="825">
        <v>4</v>
      </c>
      <c r="B225" s="885" t="str">
        <f>КДЦ3!A14</f>
        <v>Техническое обслуживание и регламентно-профилактический ремонт электрооборудования</v>
      </c>
      <c r="C225" s="885"/>
      <c r="D225" s="885"/>
      <c r="E225" s="885"/>
      <c r="F225" s="825" t="str">
        <f>КДЦ3!D14</f>
        <v>договор</v>
      </c>
      <c r="G225" s="911">
        <f>КДЦ3!C14</f>
        <v>9.5238095238095241E-5</v>
      </c>
      <c r="H225" s="911"/>
      <c r="I225" s="829">
        <f t="shared" si="15"/>
        <v>26666.666666666668</v>
      </c>
      <c r="J225" s="728">
        <f>КДЦ3!E14</f>
        <v>2.53968253968254</v>
      </c>
      <c r="K225" s="719"/>
    </row>
    <row r="226" spans="1:11" s="51" customFormat="1" ht="49.5" customHeight="1" x14ac:dyDescent="0.3">
      <c r="A226" s="825">
        <v>5</v>
      </c>
      <c r="B226" s="885" t="str">
        <f>КДЦ3!A15</f>
        <v>Вывоз твердых бытовых отходов, утилизация отходов</v>
      </c>
      <c r="C226" s="885"/>
      <c r="D226" s="885"/>
      <c r="E226" s="885"/>
      <c r="F226" s="825" t="str">
        <f>КДЦ3!D15</f>
        <v>договор</v>
      </c>
      <c r="G226" s="911">
        <f>КДЦ3!C15</f>
        <v>9.5238095238095241E-5</v>
      </c>
      <c r="H226" s="911"/>
      <c r="I226" s="829">
        <f t="shared" si="15"/>
        <v>26666.666666666668</v>
      </c>
      <c r="J226" s="728">
        <f>КДЦ3!E15</f>
        <v>2.53968253968254</v>
      </c>
      <c r="K226" s="719"/>
    </row>
    <row r="227" spans="1:11" s="51" customFormat="1" ht="20.25" customHeight="1" x14ac:dyDescent="0.3">
      <c r="A227" s="825">
        <v>6</v>
      </c>
      <c r="B227" s="885" t="str">
        <f>КДЦ3!A16</f>
        <v>Прочие затраты на содержание объектов недвижимого имущества</v>
      </c>
      <c r="C227" s="885"/>
      <c r="D227" s="885"/>
      <c r="E227" s="885"/>
      <c r="F227" s="825" t="s">
        <v>82</v>
      </c>
      <c r="G227" s="911">
        <f>КДЦ3!C16</f>
        <v>9.5238095238095241E-5</v>
      </c>
      <c r="H227" s="911"/>
      <c r="I227" s="829">
        <f t="shared" si="15"/>
        <v>80000</v>
      </c>
      <c r="J227" s="728">
        <f>КДЦ3!E16</f>
        <v>7.6190476190476186</v>
      </c>
      <c r="K227" s="719"/>
    </row>
    <row r="228" spans="1:11" s="51" customFormat="1" ht="24" customHeight="1" x14ac:dyDescent="0.3">
      <c r="A228" s="825"/>
      <c r="B228" s="1099" t="s">
        <v>63</v>
      </c>
      <c r="C228" s="1100"/>
      <c r="D228" s="1100"/>
      <c r="E228" s="1100"/>
      <c r="F228" s="1100"/>
      <c r="G228" s="1100"/>
      <c r="H228" s="1100"/>
      <c r="I228" s="1101"/>
      <c r="J228" s="728">
        <f>J222+J223+J224+J225+J226+J227</f>
        <v>19.174603174603174</v>
      </c>
      <c r="K228" s="719"/>
    </row>
    <row r="229" spans="1:11" s="51" customFormat="1" ht="21" customHeight="1" x14ac:dyDescent="0.3">
      <c r="A229" s="1102" t="s">
        <v>22</v>
      </c>
      <c r="B229" s="1103"/>
      <c r="C229" s="1103"/>
      <c r="D229" s="1103"/>
      <c r="E229" s="1103"/>
      <c r="F229" s="1103"/>
      <c r="G229" s="1103"/>
      <c r="H229" s="1103"/>
      <c r="I229" s="1103"/>
      <c r="J229" s="1104"/>
      <c r="K229" s="719"/>
    </row>
    <row r="230" spans="1:11" s="51" customFormat="1" x14ac:dyDescent="0.3">
      <c r="A230" s="825">
        <v>1</v>
      </c>
      <c r="B230" s="885" t="str">
        <f>КДЦ3!A23</f>
        <v>услуги связи</v>
      </c>
      <c r="C230" s="885"/>
      <c r="D230" s="885"/>
      <c r="E230" s="885"/>
      <c r="F230" s="825" t="str">
        <f>КДЦ3!D23</f>
        <v>мин.</v>
      </c>
      <c r="G230" s="909">
        <f>КДЦ3!C23</f>
        <v>0.66137566137566151</v>
      </c>
      <c r="H230" s="909"/>
      <c r="I230" s="829">
        <f>J230/G230</f>
        <v>1.2</v>
      </c>
      <c r="J230" s="728">
        <f>КДЦ3!E23</f>
        <v>0.79365079365079372</v>
      </c>
      <c r="K230" s="719"/>
    </row>
    <row r="231" spans="1:11" s="51" customFormat="1" x14ac:dyDescent="0.3">
      <c r="A231" s="825">
        <v>2</v>
      </c>
      <c r="B231" s="885" t="str">
        <f>КДЦ3!A24</f>
        <v>интернет</v>
      </c>
      <c r="C231" s="885"/>
      <c r="D231" s="885"/>
      <c r="E231" s="885"/>
      <c r="F231" s="825" t="str">
        <f>КДЦ3!D24</f>
        <v>Г.</v>
      </c>
      <c r="G231" s="909">
        <f>КДЦ3!C24</f>
        <v>0.1626984126984127</v>
      </c>
      <c r="H231" s="909"/>
      <c r="I231" s="829">
        <f>J231/G231</f>
        <v>40</v>
      </c>
      <c r="J231" s="728">
        <f>КДЦ3!E24</f>
        <v>6.5079365079365079</v>
      </c>
      <c r="K231" s="719"/>
    </row>
    <row r="232" spans="1:11" s="51" customFormat="1" x14ac:dyDescent="0.3">
      <c r="A232" s="825"/>
      <c r="B232" s="1099" t="s">
        <v>63</v>
      </c>
      <c r="C232" s="1100"/>
      <c r="D232" s="1100"/>
      <c r="E232" s="1100"/>
      <c r="F232" s="1100"/>
      <c r="G232" s="1100"/>
      <c r="H232" s="1100"/>
      <c r="I232" s="1101"/>
      <c r="J232" s="728">
        <f>J230+J231</f>
        <v>7.3015873015873014</v>
      </c>
      <c r="K232" s="719"/>
    </row>
    <row r="233" spans="1:11" s="51" customFormat="1" ht="31.5" customHeight="1" x14ac:dyDescent="0.3">
      <c r="A233" s="1102" t="s">
        <v>23</v>
      </c>
      <c r="B233" s="1103"/>
      <c r="C233" s="1103"/>
      <c r="D233" s="1103"/>
      <c r="E233" s="1103"/>
      <c r="F233" s="1103"/>
      <c r="G233" s="1103"/>
      <c r="H233" s="1103"/>
      <c r="I233" s="1103"/>
      <c r="J233" s="1104"/>
      <c r="K233" s="719"/>
    </row>
    <row r="234" spans="1:11" s="51" customFormat="1" ht="94.5" customHeight="1" x14ac:dyDescent="0.3">
      <c r="A234" s="825">
        <v>1</v>
      </c>
      <c r="B234" s="885" t="str">
        <f>КДЦ3!A33</f>
        <v>Обучение персонала (электро, тепло, газовое хозяйство, пожарная безопасность, охрана труда и др.)</v>
      </c>
      <c r="C234" s="885"/>
      <c r="D234" s="885"/>
      <c r="E234" s="885"/>
      <c r="F234" s="825" t="str">
        <f>КДЦ3!D33</f>
        <v>чел.</v>
      </c>
      <c r="G234" s="911">
        <f>КДЦ3!C33</f>
        <v>2.8571428571428574E-4</v>
      </c>
      <c r="H234" s="911"/>
      <c r="I234" s="829">
        <f>J234/G234</f>
        <v>2777.7777777777778</v>
      </c>
      <c r="J234" s="728">
        <f>КДЦ3!E33</f>
        <v>0.79365079365079372</v>
      </c>
      <c r="K234" s="719"/>
    </row>
    <row r="235" spans="1:11" s="51" customFormat="1" ht="66" customHeight="1" x14ac:dyDescent="0.3">
      <c r="A235" s="721">
        <v>2</v>
      </c>
      <c r="B235" s="885" t="str">
        <f>КДЦ3!A34</f>
        <v>Обслуживание программных комплексов</v>
      </c>
      <c r="C235" s="885"/>
      <c r="D235" s="885"/>
      <c r="E235" s="885"/>
      <c r="F235" s="825" t="str">
        <f>КДЦ3!D34</f>
        <v>договор</v>
      </c>
      <c r="G235" s="911">
        <f>КДЦ3!C34</f>
        <v>9.5238095238095241E-5</v>
      </c>
      <c r="H235" s="911"/>
      <c r="I235" s="829">
        <f t="shared" ref="I235:I236" si="16">J235/G235</f>
        <v>10000</v>
      </c>
      <c r="J235" s="728">
        <f>КДЦ3!E34</f>
        <v>0.95238095238095233</v>
      </c>
      <c r="K235" s="719"/>
    </row>
    <row r="236" spans="1:11" s="51" customFormat="1" ht="66" customHeight="1" x14ac:dyDescent="0.3">
      <c r="A236" s="721">
        <v>3</v>
      </c>
      <c r="B236" s="1111" t="str">
        <f>КДЦ3!A36</f>
        <v>Оплата услуг прокатных компаний</v>
      </c>
      <c r="C236" s="1112"/>
      <c r="D236" s="1112"/>
      <c r="E236" s="1113"/>
      <c r="F236" s="721" t="s">
        <v>82</v>
      </c>
      <c r="G236" s="1114">
        <f>КДЦ3!C36</f>
        <v>0.04</v>
      </c>
      <c r="H236" s="1115"/>
      <c r="I236" s="829">
        <f t="shared" si="16"/>
        <v>2380.9523809523812</v>
      </c>
      <c r="J236" s="830">
        <f>КДЦ3!E36</f>
        <v>95.238095238095241</v>
      </c>
      <c r="K236" s="719"/>
    </row>
    <row r="237" spans="1:11" s="51" customFormat="1" x14ac:dyDescent="0.3">
      <c r="A237" s="721"/>
      <c r="B237" s="1099" t="s">
        <v>63</v>
      </c>
      <c r="C237" s="1100"/>
      <c r="D237" s="1100"/>
      <c r="E237" s="1100"/>
      <c r="F237" s="1100"/>
      <c r="G237" s="1100"/>
      <c r="H237" s="1100"/>
      <c r="I237" s="1101"/>
      <c r="J237" s="728">
        <f>J234+J235+J236</f>
        <v>96.984126984126988</v>
      </c>
      <c r="K237" s="719"/>
    </row>
    <row r="238" spans="1:11" s="51" customFormat="1" x14ac:dyDescent="0.3">
      <c r="A238" s="734"/>
      <c r="B238" s="888" t="s">
        <v>69</v>
      </c>
      <c r="C238" s="1107"/>
      <c r="D238" s="1107"/>
      <c r="E238" s="1107"/>
      <c r="F238" s="1107"/>
      <c r="G238" s="1107"/>
      <c r="H238" s="1107"/>
      <c r="I238" s="889"/>
      <c r="J238" s="736">
        <f>J200+J207+J210+J215+J220+J228+J232+J237</f>
        <v>411.38688888888885</v>
      </c>
      <c r="K238" s="725">
        <f>J238*10500</f>
        <v>4319562.333333333</v>
      </c>
    </row>
    <row r="239" spans="1:11" s="51" customFormat="1" x14ac:dyDescent="0.3">
      <c r="A239" s="719"/>
      <c r="B239" s="719"/>
      <c r="C239" s="719"/>
      <c r="D239" s="719"/>
      <c r="E239" s="719"/>
      <c r="F239" s="719"/>
      <c r="G239" s="719"/>
      <c r="H239" s="719"/>
      <c r="I239" s="725"/>
      <c r="J239" s="831"/>
      <c r="K239" s="719"/>
    </row>
    <row r="240" spans="1:11" s="51" customFormat="1" ht="19.5" customHeight="1" x14ac:dyDescent="0.3">
      <c r="A240" s="901" t="s">
        <v>4</v>
      </c>
      <c r="B240" s="901"/>
      <c r="C240" s="901"/>
      <c r="D240" s="901"/>
      <c r="E240" s="901"/>
      <c r="F240" s="901"/>
      <c r="G240" s="901"/>
      <c r="H240" s="901"/>
      <c r="I240" s="901"/>
      <c r="J240" s="901"/>
      <c r="K240" s="719"/>
    </row>
    <row r="241" spans="1:15" s="51" customFormat="1" x14ac:dyDescent="0.3">
      <c r="A241" s="901" t="s">
        <v>5</v>
      </c>
      <c r="B241" s="901"/>
      <c r="C241" s="901"/>
      <c r="D241" s="901"/>
      <c r="E241" s="901"/>
      <c r="F241" s="901"/>
      <c r="G241" s="901"/>
      <c r="H241" s="901"/>
      <c r="I241" s="901"/>
      <c r="J241" s="901"/>
      <c r="K241" s="719"/>
    </row>
    <row r="242" spans="1:15" s="51" customFormat="1" x14ac:dyDescent="0.3">
      <c r="A242" s="901" t="s">
        <v>6</v>
      </c>
      <c r="B242" s="901"/>
      <c r="C242" s="901"/>
      <c r="D242" s="901"/>
      <c r="E242" s="901"/>
      <c r="F242" s="901"/>
      <c r="G242" s="901"/>
      <c r="H242" s="901"/>
      <c r="I242" s="901"/>
      <c r="J242" s="901"/>
      <c r="K242" s="719"/>
    </row>
    <row r="243" spans="1:15" s="51" customFormat="1" x14ac:dyDescent="0.3">
      <c r="A243" s="910" t="s">
        <v>284</v>
      </c>
      <c r="B243" s="910"/>
      <c r="C243" s="910"/>
      <c r="D243" s="910"/>
      <c r="E243" s="910"/>
      <c r="F243" s="910"/>
      <c r="G243" s="910"/>
      <c r="H243" s="910"/>
      <c r="I243" s="910"/>
      <c r="J243" s="910"/>
      <c r="K243" s="719"/>
    </row>
    <row r="244" spans="1:15" s="51" customFormat="1" x14ac:dyDescent="0.3">
      <c r="A244" s="903" t="s">
        <v>304</v>
      </c>
      <c r="B244" s="903"/>
      <c r="C244" s="903"/>
      <c r="D244" s="903"/>
      <c r="E244" s="903"/>
      <c r="F244" s="903"/>
      <c r="G244" s="903"/>
      <c r="H244" s="903"/>
      <c r="I244" s="903"/>
      <c r="J244" s="903"/>
      <c r="K244" s="719"/>
    </row>
    <row r="245" spans="1:15" s="51" customFormat="1" x14ac:dyDescent="0.3">
      <c r="A245" s="1095" t="s">
        <v>295</v>
      </c>
      <c r="B245" s="1095"/>
      <c r="C245" s="1095"/>
      <c r="D245" s="1095"/>
      <c r="E245" s="1095"/>
      <c r="F245" s="1095"/>
      <c r="G245" s="1095"/>
      <c r="H245" s="1095"/>
      <c r="I245" s="1095"/>
      <c r="J245" s="1095"/>
      <c r="K245" s="719"/>
      <c r="M245" s="1119" t="s">
        <v>122</v>
      </c>
      <c r="N245" s="1119"/>
      <c r="O245" s="1119"/>
    </row>
    <row r="246" spans="1:15" s="51" customFormat="1" x14ac:dyDescent="0.3">
      <c r="A246" s="719"/>
      <c r="B246" s="719"/>
      <c r="C246" s="719"/>
      <c r="D246" s="719"/>
      <c r="E246" s="719"/>
      <c r="F246" s="719"/>
      <c r="G246" s="719"/>
      <c r="H246" s="719"/>
      <c r="I246" s="831"/>
      <c r="J246" s="731"/>
      <c r="K246" s="719"/>
    </row>
    <row r="247" spans="1:15" s="51" customFormat="1" ht="75" customHeight="1" x14ac:dyDescent="0.3">
      <c r="A247" s="826" t="s">
        <v>9</v>
      </c>
      <c r="B247" s="883" t="s">
        <v>10</v>
      </c>
      <c r="C247" s="883"/>
      <c r="D247" s="883"/>
      <c r="E247" s="883"/>
      <c r="F247" s="826" t="s">
        <v>11</v>
      </c>
      <c r="G247" s="883" t="s">
        <v>12</v>
      </c>
      <c r="H247" s="883"/>
      <c r="I247" s="726" t="s">
        <v>31</v>
      </c>
      <c r="J247" s="726" t="s">
        <v>32</v>
      </c>
      <c r="K247" s="719"/>
    </row>
    <row r="248" spans="1:15" s="51" customFormat="1" x14ac:dyDescent="0.3">
      <c r="A248" s="825">
        <v>1</v>
      </c>
      <c r="B248" s="884">
        <v>2</v>
      </c>
      <c r="C248" s="884"/>
      <c r="D248" s="884"/>
      <c r="E248" s="884"/>
      <c r="F248" s="825">
        <v>3</v>
      </c>
      <c r="G248" s="884">
        <v>3</v>
      </c>
      <c r="H248" s="1099"/>
      <c r="I248" s="726">
        <v>4</v>
      </c>
      <c r="J248" s="727">
        <v>5</v>
      </c>
      <c r="K248" s="719"/>
    </row>
    <row r="249" spans="1:15" s="51" customFormat="1" x14ac:dyDescent="0.3">
      <c r="A249" s="900" t="s">
        <v>18</v>
      </c>
      <c r="B249" s="900"/>
      <c r="C249" s="900"/>
      <c r="D249" s="900"/>
      <c r="E249" s="900"/>
      <c r="F249" s="900"/>
      <c r="G249" s="900"/>
      <c r="H249" s="900"/>
      <c r="I249" s="1110"/>
      <c r="J249" s="728"/>
      <c r="K249" s="719"/>
    </row>
    <row r="250" spans="1:15" s="51" customFormat="1" x14ac:dyDescent="0.3">
      <c r="A250" s="895" t="s">
        <v>14</v>
      </c>
      <c r="B250" s="895"/>
      <c r="C250" s="895"/>
      <c r="D250" s="895"/>
      <c r="E250" s="895"/>
      <c r="F250" s="895"/>
      <c r="G250" s="895"/>
      <c r="H250" s="895"/>
      <c r="I250" s="896"/>
      <c r="J250" s="728"/>
      <c r="K250" s="719"/>
    </row>
    <row r="251" spans="1:15" s="51" customFormat="1" ht="26.25" customHeight="1" x14ac:dyDescent="0.3">
      <c r="A251" s="825">
        <v>1</v>
      </c>
      <c r="B251" s="885" t="str">
        <f>КДЦ!B4</f>
        <v>звукооператор</v>
      </c>
      <c r="C251" s="885"/>
      <c r="D251" s="885"/>
      <c r="E251" s="885"/>
      <c r="F251" s="825" t="s">
        <v>162</v>
      </c>
      <c r="G251" s="908">
        <f>КДЦ!I4</f>
        <v>1.64</v>
      </c>
      <c r="H251" s="908"/>
      <c r="I251" s="829">
        <f>J251/G251</f>
        <v>200</v>
      </c>
      <c r="J251" s="728">
        <f>КДЦ!K4</f>
        <v>328</v>
      </c>
      <c r="K251" s="719"/>
    </row>
    <row r="252" spans="1:15" s="51" customFormat="1" ht="27.75" customHeight="1" x14ac:dyDescent="0.3">
      <c r="A252" s="825">
        <v>2</v>
      </c>
      <c r="B252" s="885" t="str">
        <f>КДЦ!B6</f>
        <v>художник-оформитель</v>
      </c>
      <c r="C252" s="885"/>
      <c r="D252" s="885"/>
      <c r="E252" s="885"/>
      <c r="F252" s="825" t="s">
        <v>162</v>
      </c>
      <c r="G252" s="908">
        <f>КДЦ!I6</f>
        <v>1.64</v>
      </c>
      <c r="H252" s="908"/>
      <c r="I252" s="829">
        <f t="shared" ref="I252:I254" si="17">J252/G252</f>
        <v>200</v>
      </c>
      <c r="J252" s="728">
        <f>КДЦ!K6</f>
        <v>328</v>
      </c>
      <c r="K252" s="719"/>
    </row>
    <row r="253" spans="1:15" s="51" customFormat="1" ht="27" customHeight="1" x14ac:dyDescent="0.3">
      <c r="A253" s="825">
        <v>3</v>
      </c>
      <c r="B253" s="885" t="str">
        <f>КДЦ!B11</f>
        <v>Культ организатор 1-й категории</v>
      </c>
      <c r="C253" s="885"/>
      <c r="D253" s="885"/>
      <c r="E253" s="885"/>
      <c r="F253" s="825" t="s">
        <v>162</v>
      </c>
      <c r="G253" s="908">
        <f>КДЦ!I11</f>
        <v>6.56</v>
      </c>
      <c r="H253" s="908"/>
      <c r="I253" s="829">
        <f t="shared" si="17"/>
        <v>100</v>
      </c>
      <c r="J253" s="728">
        <f>КДЦ!K11</f>
        <v>656</v>
      </c>
      <c r="K253" s="719"/>
    </row>
    <row r="254" spans="1:15" s="51" customFormat="1" ht="42" customHeight="1" x14ac:dyDescent="0.3">
      <c r="A254" s="825">
        <v>4</v>
      </c>
      <c r="B254" s="885" t="str">
        <f>КДЦ!B12</f>
        <v>специалист по связи с общественностью</v>
      </c>
      <c r="C254" s="885"/>
      <c r="D254" s="885"/>
      <c r="E254" s="885"/>
      <c r="F254" s="825" t="s">
        <v>162</v>
      </c>
      <c r="G254" s="908">
        <f>КДЦ!I12</f>
        <v>3.28</v>
      </c>
      <c r="H254" s="908"/>
      <c r="I254" s="829">
        <f t="shared" si="17"/>
        <v>100</v>
      </c>
      <c r="J254" s="728">
        <f>КДЦ!K12</f>
        <v>328</v>
      </c>
      <c r="K254" s="719"/>
    </row>
    <row r="255" spans="1:15" s="51" customFormat="1" ht="27" customHeight="1" x14ac:dyDescent="0.3">
      <c r="A255" s="825"/>
      <c r="B255" s="1099" t="s">
        <v>63</v>
      </c>
      <c r="C255" s="1100"/>
      <c r="D255" s="1100"/>
      <c r="E255" s="1101"/>
      <c r="F255" s="825"/>
      <c r="G255" s="1102"/>
      <c r="H255" s="1104"/>
      <c r="I255" s="829"/>
      <c r="J255" s="728">
        <f>J251+J252+J253+J254</f>
        <v>1640</v>
      </c>
      <c r="K255" s="719"/>
    </row>
    <row r="256" spans="1:15" s="51" customFormat="1" ht="63.75" customHeight="1" x14ac:dyDescent="0.3">
      <c r="A256" s="895" t="s">
        <v>15</v>
      </c>
      <c r="B256" s="895"/>
      <c r="C256" s="895"/>
      <c r="D256" s="895"/>
      <c r="E256" s="895"/>
      <c r="F256" s="895"/>
      <c r="G256" s="895"/>
      <c r="H256" s="895"/>
      <c r="I256" s="896"/>
      <c r="J256" s="728"/>
      <c r="K256" s="719"/>
    </row>
    <row r="257" spans="1:11" s="51" customFormat="1" x14ac:dyDescent="0.3">
      <c r="A257" s="825">
        <v>1</v>
      </c>
      <c r="B257" s="885" t="str">
        <f>'КДЦ 2'!A9</f>
        <v>канц. товары (бумага)</v>
      </c>
      <c r="C257" s="885"/>
      <c r="D257" s="885"/>
      <c r="E257" s="885"/>
      <c r="F257" s="825" t="str">
        <f>'КДЦ 2'!V8</f>
        <v>уп.</v>
      </c>
      <c r="G257" s="908">
        <f>'КДЦ 2'!H9</f>
        <v>20</v>
      </c>
      <c r="H257" s="908"/>
      <c r="I257" s="829">
        <f>J257/G257</f>
        <v>0.55999999999999994</v>
      </c>
      <c r="J257" s="728">
        <f>'КДЦ 2'!I9</f>
        <v>11.2</v>
      </c>
      <c r="K257" s="719"/>
    </row>
    <row r="258" spans="1:11" s="51" customFormat="1" x14ac:dyDescent="0.3">
      <c r="A258" s="825">
        <v>2</v>
      </c>
      <c r="B258" s="885" t="str">
        <f>'КДЦ 2'!A10</f>
        <v>ручка</v>
      </c>
      <c r="C258" s="885"/>
      <c r="D258" s="885"/>
      <c r="E258" s="885"/>
      <c r="F258" s="825" t="str">
        <f>'КДЦ 2'!V9</f>
        <v>уп.</v>
      </c>
      <c r="G258" s="908">
        <f>'КДЦ 2'!H10</f>
        <v>0.05</v>
      </c>
      <c r="H258" s="908"/>
      <c r="I258" s="829">
        <f t="shared" ref="I258:I259" si="18">J258/G258</f>
        <v>40</v>
      </c>
      <c r="J258" s="728">
        <f>'КДЦ 2'!I10</f>
        <v>2</v>
      </c>
      <c r="K258" s="719"/>
    </row>
    <row r="259" spans="1:11" s="51" customFormat="1" x14ac:dyDescent="0.3">
      <c r="A259" s="825">
        <v>3</v>
      </c>
      <c r="B259" s="885" t="str">
        <f>'КДЦ 2'!A11</f>
        <v>ГСМ</v>
      </c>
      <c r="C259" s="885"/>
      <c r="D259" s="885"/>
      <c r="E259" s="885"/>
      <c r="F259" s="825" t="str">
        <f>'КДЦ 2'!V11</f>
        <v>Л.</v>
      </c>
      <c r="G259" s="908">
        <f>'КДЦ 2'!H11</f>
        <v>0.26500000000000001</v>
      </c>
      <c r="H259" s="908"/>
      <c r="I259" s="829">
        <f t="shared" si="18"/>
        <v>69.999371069182388</v>
      </c>
      <c r="J259" s="728">
        <f>'КДЦ 2'!I11</f>
        <v>18.549833333333332</v>
      </c>
      <c r="K259" s="719"/>
    </row>
    <row r="260" spans="1:11" s="51" customFormat="1" x14ac:dyDescent="0.3">
      <c r="A260" s="825"/>
      <c r="B260" s="884" t="s">
        <v>63</v>
      </c>
      <c r="C260" s="884"/>
      <c r="D260" s="884"/>
      <c r="E260" s="884"/>
      <c r="F260" s="825"/>
      <c r="G260" s="884"/>
      <c r="H260" s="884"/>
      <c r="I260" s="829"/>
      <c r="J260" s="728">
        <f>J257+J258+J259</f>
        <v>31.749833333333331</v>
      </c>
      <c r="K260" s="719"/>
    </row>
    <row r="261" spans="1:11" s="51" customFormat="1" ht="57" customHeight="1" x14ac:dyDescent="0.3">
      <c r="A261" s="895" t="s">
        <v>16</v>
      </c>
      <c r="B261" s="895"/>
      <c r="C261" s="895"/>
      <c r="D261" s="895"/>
      <c r="E261" s="895"/>
      <c r="F261" s="895"/>
      <c r="G261" s="895"/>
      <c r="H261" s="895"/>
      <c r="I261" s="896"/>
      <c r="J261" s="728"/>
      <c r="K261" s="719"/>
    </row>
    <row r="262" spans="1:11" s="51" customFormat="1" x14ac:dyDescent="0.3">
      <c r="A262" s="825"/>
      <c r="B262" s="884"/>
      <c r="C262" s="884"/>
      <c r="D262" s="884"/>
      <c r="E262" s="884"/>
      <c r="F262" s="825"/>
      <c r="G262" s="884"/>
      <c r="H262" s="884"/>
      <c r="I262" s="829"/>
      <c r="J262" s="728"/>
      <c r="K262" s="719"/>
    </row>
    <row r="263" spans="1:11" s="51" customFormat="1" x14ac:dyDescent="0.3">
      <c r="A263" s="825"/>
      <c r="B263" s="884"/>
      <c r="C263" s="884"/>
      <c r="D263" s="884"/>
      <c r="E263" s="884"/>
      <c r="F263" s="825"/>
      <c r="G263" s="884"/>
      <c r="H263" s="884"/>
      <c r="I263" s="829"/>
      <c r="J263" s="728"/>
      <c r="K263" s="719"/>
    </row>
    <row r="264" spans="1:11" s="51" customFormat="1" x14ac:dyDescent="0.3">
      <c r="A264" s="899" t="s">
        <v>17</v>
      </c>
      <c r="B264" s="883"/>
      <c r="C264" s="883"/>
      <c r="D264" s="883"/>
      <c r="E264" s="883"/>
      <c r="F264" s="883"/>
      <c r="G264" s="883"/>
      <c r="H264" s="883"/>
      <c r="I264" s="1102"/>
      <c r="J264" s="728"/>
      <c r="K264" s="719"/>
    </row>
    <row r="265" spans="1:11" s="51" customFormat="1" ht="45" customHeight="1" x14ac:dyDescent="0.3">
      <c r="A265" s="896" t="s">
        <v>19</v>
      </c>
      <c r="B265" s="897"/>
      <c r="C265" s="897"/>
      <c r="D265" s="897"/>
      <c r="E265" s="897"/>
      <c r="F265" s="897"/>
      <c r="G265" s="897"/>
      <c r="H265" s="897"/>
      <c r="I265" s="897"/>
      <c r="J265" s="728"/>
      <c r="K265" s="719"/>
    </row>
    <row r="266" spans="1:11" s="51" customFormat="1" ht="40.5" customHeight="1" x14ac:dyDescent="0.3">
      <c r="A266" s="825">
        <v>1</v>
      </c>
      <c r="B266" s="885" t="str">
        <f>КДЦ3!A27</f>
        <v>Административно-управленческий персонал</v>
      </c>
      <c r="C266" s="885"/>
      <c r="D266" s="885"/>
      <c r="E266" s="885"/>
      <c r="F266" s="825" t="s">
        <v>162</v>
      </c>
      <c r="G266" s="908">
        <f>КДЦ3!H27</f>
        <v>8.666666666666667E-2</v>
      </c>
      <c r="H266" s="908"/>
      <c r="I266" s="829">
        <f>J266/G266</f>
        <v>4790.0256410256416</v>
      </c>
      <c r="J266" s="728">
        <f>КДЦ3!J27</f>
        <v>415.13555555555558</v>
      </c>
      <c r="K266" s="719"/>
    </row>
    <row r="267" spans="1:11" s="51" customFormat="1" ht="28.5" customHeight="1" x14ac:dyDescent="0.3">
      <c r="A267" s="825">
        <v>2</v>
      </c>
      <c r="B267" s="885" t="str">
        <f>КДЦ3!A28</f>
        <v>Прочий персонал</v>
      </c>
      <c r="C267" s="885"/>
      <c r="D267" s="885"/>
      <c r="E267" s="885"/>
      <c r="F267" s="825" t="s">
        <v>162</v>
      </c>
      <c r="G267" s="908">
        <f>КДЦ3!H28</f>
        <v>0.57399999999999995</v>
      </c>
      <c r="H267" s="908"/>
      <c r="I267" s="829">
        <f>J267/G267</f>
        <v>673.56755710414245</v>
      </c>
      <c r="J267" s="728">
        <f>КДЦ3!J28</f>
        <v>386.62777777777774</v>
      </c>
      <c r="K267" s="719"/>
    </row>
    <row r="268" spans="1:11" s="51" customFormat="1" x14ac:dyDescent="0.3">
      <c r="A268" s="825"/>
      <c r="B268" s="884" t="s">
        <v>63</v>
      </c>
      <c r="C268" s="884"/>
      <c r="D268" s="884"/>
      <c r="E268" s="884"/>
      <c r="F268" s="825"/>
      <c r="G268" s="884"/>
      <c r="H268" s="884"/>
      <c r="I268" s="829"/>
      <c r="J268" s="728">
        <f>J266+J267</f>
        <v>801.76333333333332</v>
      </c>
      <c r="K268" s="719"/>
    </row>
    <row r="269" spans="1:11" s="51" customFormat="1" ht="23.25" customHeight="1" x14ac:dyDescent="0.3">
      <c r="A269" s="896" t="s">
        <v>20</v>
      </c>
      <c r="B269" s="897"/>
      <c r="C269" s="897"/>
      <c r="D269" s="897"/>
      <c r="E269" s="897"/>
      <c r="F269" s="897"/>
      <c r="G269" s="897"/>
      <c r="H269" s="897"/>
      <c r="I269" s="897"/>
      <c r="J269" s="728"/>
      <c r="K269" s="719"/>
    </row>
    <row r="270" spans="1:11" s="51" customFormat="1" ht="21.75" customHeight="1" x14ac:dyDescent="0.3">
      <c r="A270" s="825">
        <v>1</v>
      </c>
      <c r="B270" s="885" t="str">
        <f>КДЦ3!A6</f>
        <v>оплата потребления газа</v>
      </c>
      <c r="C270" s="885"/>
      <c r="D270" s="885"/>
      <c r="E270" s="885"/>
      <c r="F270" s="825" t="str">
        <f>КДЦ3!I6</f>
        <v>м3</v>
      </c>
      <c r="G270" s="908">
        <f>КДЦ3!H6</f>
        <v>6.3674415809259019E-2</v>
      </c>
      <c r="H270" s="908"/>
      <c r="I270" s="829">
        <f>J270/G270</f>
        <v>5731.1000000000013</v>
      </c>
      <c r="J270" s="728">
        <f>КДЦ3!J6</f>
        <v>364.92444444444442</v>
      </c>
      <c r="K270" s="719"/>
    </row>
    <row r="271" spans="1:11" s="51" customFormat="1" ht="38.25" customHeight="1" x14ac:dyDescent="0.3">
      <c r="A271" s="825">
        <v>2</v>
      </c>
      <c r="B271" s="885" t="str">
        <f>КДЦ3!A7</f>
        <v>оплата потребления электрической энергии</v>
      </c>
      <c r="C271" s="885"/>
      <c r="D271" s="885"/>
      <c r="E271" s="885"/>
      <c r="F271" s="825" t="str">
        <f>КДЦ3!I7</f>
        <v>кват/ч</v>
      </c>
      <c r="G271" s="908">
        <f>КДЦ3!H7</f>
        <v>42.955326460481096</v>
      </c>
      <c r="H271" s="908"/>
      <c r="I271" s="829">
        <f t="shared" ref="I271:I272" si="19">J271/G271</f>
        <v>7.76</v>
      </c>
      <c r="J271" s="728">
        <f>КДЦ3!J7</f>
        <v>333.33333333333331</v>
      </c>
      <c r="K271" s="719"/>
    </row>
    <row r="272" spans="1:11" s="51" customFormat="1" ht="40.5" customHeight="1" x14ac:dyDescent="0.3">
      <c r="A272" s="825">
        <v>3</v>
      </c>
      <c r="B272" s="885" t="str">
        <f>КДЦ3!A8</f>
        <v>оплата потребления водоснабжения</v>
      </c>
      <c r="C272" s="885"/>
      <c r="D272" s="885"/>
      <c r="E272" s="885"/>
      <c r="F272" s="825" t="str">
        <f>КДЦ3!I8</f>
        <v>м3</v>
      </c>
      <c r="G272" s="908">
        <f>КДЦ3!H8</f>
        <v>0.27753493470990664</v>
      </c>
      <c r="H272" s="908"/>
      <c r="I272" s="829">
        <f t="shared" si="19"/>
        <v>80.069999999999993</v>
      </c>
      <c r="J272" s="728">
        <f>КДЦ3!J8</f>
        <v>22.222222222222225</v>
      </c>
      <c r="K272" s="719"/>
    </row>
    <row r="273" spans="1:11" s="51" customFormat="1" x14ac:dyDescent="0.3">
      <c r="A273" s="825"/>
      <c r="B273" s="884" t="s">
        <v>63</v>
      </c>
      <c r="C273" s="884"/>
      <c r="D273" s="884"/>
      <c r="E273" s="884"/>
      <c r="F273" s="825"/>
      <c r="G273" s="884"/>
      <c r="H273" s="884"/>
      <c r="I273" s="829"/>
      <c r="J273" s="728">
        <f>J270+J271+J272</f>
        <v>720.4799999999999</v>
      </c>
      <c r="K273" s="719"/>
    </row>
    <row r="274" spans="1:11" s="51" customFormat="1" ht="57.75" customHeight="1" x14ac:dyDescent="0.3">
      <c r="A274" s="900" t="s">
        <v>21</v>
      </c>
      <c r="B274" s="895"/>
      <c r="C274" s="895"/>
      <c r="D274" s="895"/>
      <c r="E274" s="895"/>
      <c r="F274" s="895"/>
      <c r="G274" s="895"/>
      <c r="H274" s="895"/>
      <c r="I274" s="896"/>
      <c r="J274" s="728"/>
      <c r="K274" s="719"/>
    </row>
    <row r="275" spans="1:11" s="51" customFormat="1" ht="76.5" customHeight="1" x14ac:dyDescent="0.3">
      <c r="A275" s="825">
        <v>1</v>
      </c>
      <c r="B275" s="885" t="str">
        <f>КДЦ3!A11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275" s="885"/>
      <c r="D275" s="885"/>
      <c r="E275" s="885"/>
      <c r="F275" s="825" t="str">
        <f>КДЦ3!D11</f>
        <v>договор</v>
      </c>
      <c r="G275" s="909">
        <f>КДЦ3!H11</f>
        <v>5.8479532163742687E-3</v>
      </c>
      <c r="H275" s="909"/>
      <c r="I275" s="829">
        <f>J275/G275</f>
        <v>13680</v>
      </c>
      <c r="J275" s="728">
        <f>КДЦ3!J11</f>
        <v>80</v>
      </c>
      <c r="K275" s="719"/>
    </row>
    <row r="276" spans="1:11" s="51" customFormat="1" ht="47.25" customHeight="1" x14ac:dyDescent="0.3">
      <c r="A276" s="825">
        <v>2</v>
      </c>
      <c r="B276" s="885" t="str">
        <f>КДЦ3!A12</f>
        <v>Техническое обслуживание газового оборудования, дымоходов</v>
      </c>
      <c r="C276" s="885"/>
      <c r="D276" s="885"/>
      <c r="E276" s="885"/>
      <c r="F276" s="825" t="str">
        <f>КДЦ3!D12</f>
        <v>договор</v>
      </c>
      <c r="G276" s="909">
        <f>КДЦ3!H12</f>
        <v>5.8479532163742687E-3</v>
      </c>
      <c r="H276" s="909"/>
      <c r="I276" s="829">
        <f t="shared" ref="I276:I280" si="20">J276/G276</f>
        <v>6079.9999999999991</v>
      </c>
      <c r="J276" s="728">
        <f>КДЦ3!J12</f>
        <v>35.55555555555555</v>
      </c>
      <c r="K276" s="719"/>
    </row>
    <row r="277" spans="1:11" s="51" customFormat="1" ht="93.75" customHeight="1" x14ac:dyDescent="0.3">
      <c r="A277" s="825">
        <v>3</v>
      </c>
      <c r="B277" s="885" t="str">
        <f>КДЦ3!A13</f>
        <v>Техническое обслуживание и регламентно-профилактический ремонт, в том числе на подготовку отопительной системы к зимнему сезону</v>
      </c>
      <c r="C277" s="885"/>
      <c r="D277" s="885"/>
      <c r="E277" s="885"/>
      <c r="F277" s="825" t="str">
        <f>КДЦ3!D13</f>
        <v>договор</v>
      </c>
      <c r="G277" s="909">
        <f>КДЦ3!H13</f>
        <v>5.8479532163742687E-3</v>
      </c>
      <c r="H277" s="909"/>
      <c r="I277" s="829">
        <f t="shared" si="20"/>
        <v>19000</v>
      </c>
      <c r="J277" s="728">
        <f>КДЦ3!J13</f>
        <v>111.11111111111111</v>
      </c>
      <c r="K277" s="719"/>
    </row>
    <row r="278" spans="1:11" s="51" customFormat="1" ht="65.25" customHeight="1" x14ac:dyDescent="0.3">
      <c r="A278" s="825">
        <v>4</v>
      </c>
      <c r="B278" s="885" t="str">
        <f>КДЦ3!A14</f>
        <v>Техническое обслуживание и регламентно-профилактический ремонт электрооборудования</v>
      </c>
      <c r="C278" s="885"/>
      <c r="D278" s="885"/>
      <c r="E278" s="885"/>
      <c r="F278" s="825" t="str">
        <f>КДЦ3!D14</f>
        <v>договор</v>
      </c>
      <c r="G278" s="909">
        <f>КДЦ3!H14</f>
        <v>5.8479532163742687E-3</v>
      </c>
      <c r="H278" s="909"/>
      <c r="I278" s="829">
        <f t="shared" si="20"/>
        <v>15200.000000000004</v>
      </c>
      <c r="J278" s="728">
        <f>КДЦ3!J14</f>
        <v>88.8888888888889</v>
      </c>
      <c r="K278" s="719"/>
    </row>
    <row r="279" spans="1:11" s="51" customFormat="1" ht="45.75" customHeight="1" x14ac:dyDescent="0.3">
      <c r="A279" s="825">
        <v>5</v>
      </c>
      <c r="B279" s="885" t="str">
        <f>КДЦ3!A15</f>
        <v>Вывоз твердых бытовых отходов, утилизация отходов</v>
      </c>
      <c r="C279" s="885"/>
      <c r="D279" s="885"/>
      <c r="E279" s="885"/>
      <c r="F279" s="825" t="str">
        <f>КДЦ3!D15</f>
        <v>договор</v>
      </c>
      <c r="G279" s="909">
        <f>КДЦ3!H15</f>
        <v>5.8479532163742687E-3</v>
      </c>
      <c r="H279" s="909"/>
      <c r="I279" s="829">
        <f t="shared" si="20"/>
        <v>15200.000000000004</v>
      </c>
      <c r="J279" s="728">
        <f>КДЦ3!J15</f>
        <v>88.8888888888889</v>
      </c>
      <c r="K279" s="719"/>
    </row>
    <row r="280" spans="1:11" s="51" customFormat="1" ht="48.75" customHeight="1" x14ac:dyDescent="0.3">
      <c r="A280" s="825">
        <v>6</v>
      </c>
      <c r="B280" s="885" t="str">
        <f>КДЦ3!A16</f>
        <v>Прочие затраты на содержание объектов недвижимого имущества</v>
      </c>
      <c r="C280" s="885"/>
      <c r="D280" s="885"/>
      <c r="E280" s="885"/>
      <c r="F280" s="825" t="s">
        <v>82</v>
      </c>
      <c r="G280" s="909">
        <f>КДЦ3!H16</f>
        <v>5.8479532163742687E-3</v>
      </c>
      <c r="H280" s="909"/>
      <c r="I280" s="829">
        <f t="shared" si="20"/>
        <v>45600.000000000007</v>
      </c>
      <c r="J280" s="728">
        <f>КДЦ3!J16</f>
        <v>266.66666666666669</v>
      </c>
      <c r="K280" s="719"/>
    </row>
    <row r="281" spans="1:11" s="51" customFormat="1" x14ac:dyDescent="0.3">
      <c r="A281" s="825"/>
      <c r="B281" s="885" t="s">
        <v>63</v>
      </c>
      <c r="C281" s="885"/>
      <c r="D281" s="885"/>
      <c r="E281" s="885"/>
      <c r="F281" s="825"/>
      <c r="G281" s="884"/>
      <c r="H281" s="884"/>
      <c r="I281" s="829"/>
      <c r="J281" s="728">
        <f>J275+J276+J277+J278+J279+J280</f>
        <v>671.11111111111109</v>
      </c>
      <c r="K281" s="719"/>
    </row>
    <row r="282" spans="1:11" s="51" customFormat="1" ht="34.5" customHeight="1" x14ac:dyDescent="0.3">
      <c r="A282" s="1102" t="s">
        <v>22</v>
      </c>
      <c r="B282" s="1103"/>
      <c r="C282" s="1103"/>
      <c r="D282" s="1103"/>
      <c r="E282" s="1103"/>
      <c r="F282" s="1103"/>
      <c r="G282" s="1103"/>
      <c r="H282" s="1103"/>
      <c r="I282" s="1103"/>
      <c r="J282" s="1104"/>
      <c r="K282" s="719"/>
    </row>
    <row r="283" spans="1:11" s="51" customFormat="1" x14ac:dyDescent="0.3">
      <c r="A283" s="825">
        <v>1</v>
      </c>
      <c r="B283" s="885" t="str">
        <f>КДЦ3!A23</f>
        <v>услуги связи</v>
      </c>
      <c r="C283" s="885"/>
      <c r="D283" s="885"/>
      <c r="E283" s="885"/>
      <c r="F283" s="825" t="str">
        <f>КДЦ3!D23</f>
        <v>мин.</v>
      </c>
      <c r="G283" s="908">
        <f>КДЦ3!H23</f>
        <v>23.148148148148149</v>
      </c>
      <c r="H283" s="908"/>
      <c r="I283" s="829">
        <f>J283/G283</f>
        <v>1.2</v>
      </c>
      <c r="J283" s="728">
        <f>КДЦ3!J23</f>
        <v>27.777777777777779</v>
      </c>
      <c r="K283" s="719"/>
    </row>
    <row r="284" spans="1:11" s="51" customFormat="1" x14ac:dyDescent="0.3">
      <c r="A284" s="825">
        <v>2</v>
      </c>
      <c r="B284" s="885" t="str">
        <f>КДЦ3!A24</f>
        <v>интернет</v>
      </c>
      <c r="C284" s="885"/>
      <c r="D284" s="885"/>
      <c r="E284" s="885"/>
      <c r="F284" s="825" t="str">
        <f>КДЦ3!D24</f>
        <v>Г.</v>
      </c>
      <c r="G284" s="908">
        <f>КДЦ3!H24</f>
        <v>5.6944444444444446</v>
      </c>
      <c r="H284" s="908"/>
      <c r="I284" s="829">
        <f>J284/G284</f>
        <v>40</v>
      </c>
      <c r="J284" s="728">
        <f>КДЦ3!J24</f>
        <v>227.77777777777777</v>
      </c>
      <c r="K284" s="719"/>
    </row>
    <row r="285" spans="1:11" s="51" customFormat="1" x14ac:dyDescent="0.3">
      <c r="A285" s="825"/>
      <c r="B285" s="1099" t="s">
        <v>63</v>
      </c>
      <c r="C285" s="1100"/>
      <c r="D285" s="1100"/>
      <c r="E285" s="1100"/>
      <c r="F285" s="1100"/>
      <c r="G285" s="1100"/>
      <c r="H285" s="1100"/>
      <c r="I285" s="1101"/>
      <c r="J285" s="728">
        <f>J283+J284</f>
        <v>255.55555555555554</v>
      </c>
      <c r="K285" s="719"/>
    </row>
    <row r="286" spans="1:11" s="51" customFormat="1" ht="27.75" customHeight="1" x14ac:dyDescent="0.3">
      <c r="A286" s="1102" t="s">
        <v>23</v>
      </c>
      <c r="B286" s="1103"/>
      <c r="C286" s="1103"/>
      <c r="D286" s="1103"/>
      <c r="E286" s="1103"/>
      <c r="F286" s="1103"/>
      <c r="G286" s="1103"/>
      <c r="H286" s="1103"/>
      <c r="I286" s="1103"/>
      <c r="J286" s="1104"/>
      <c r="K286" s="719"/>
    </row>
    <row r="287" spans="1:11" s="51" customFormat="1" ht="85.5" customHeight="1" x14ac:dyDescent="0.3">
      <c r="A287" s="825">
        <v>1</v>
      </c>
      <c r="B287" s="884" t="str">
        <f>КДЦ3!A33</f>
        <v>Обучение персонала (электро, тепло, газовое хозяйство, пожарная безопасность, охрана труда и др.)</v>
      </c>
      <c r="C287" s="884"/>
      <c r="D287" s="884"/>
      <c r="E287" s="884"/>
      <c r="F287" s="825" t="str">
        <f>КДЦ3!I33</f>
        <v>чел.</v>
      </c>
      <c r="G287" s="909">
        <f>КДЦ3!H33</f>
        <v>4.17</v>
      </c>
      <c r="H287" s="909"/>
      <c r="I287" s="829">
        <f>J287/G287</f>
        <v>6.6613375965893953</v>
      </c>
      <c r="J287" s="728">
        <f>КДЦ3!J33</f>
        <v>27.777777777777779</v>
      </c>
      <c r="K287" s="719"/>
    </row>
    <row r="288" spans="1:11" s="51" customFormat="1" ht="42.75" customHeight="1" x14ac:dyDescent="0.3">
      <c r="A288" s="825">
        <v>2</v>
      </c>
      <c r="B288" s="884" t="str">
        <f>КДЦ3!A34</f>
        <v>Обслуживание программных комплексов</v>
      </c>
      <c r="C288" s="884"/>
      <c r="D288" s="884"/>
      <c r="E288" s="884"/>
      <c r="F288" s="825" t="str">
        <f>КДЦ3!I34</f>
        <v>договор</v>
      </c>
      <c r="G288" s="909">
        <f>КДЦ3!H34</f>
        <v>5.8479532163742687E-3</v>
      </c>
      <c r="H288" s="909"/>
      <c r="I288" s="829">
        <f>J288/G288</f>
        <v>5700.0000000000009</v>
      </c>
      <c r="J288" s="728">
        <f>КДЦ3!J34</f>
        <v>33.333333333333336</v>
      </c>
      <c r="K288" s="719"/>
    </row>
    <row r="289" spans="1:15" s="51" customFormat="1" x14ac:dyDescent="0.3">
      <c r="A289" s="825"/>
      <c r="B289" s="1099" t="s">
        <v>63</v>
      </c>
      <c r="C289" s="1100"/>
      <c r="D289" s="1100"/>
      <c r="E289" s="1100"/>
      <c r="F289" s="1100"/>
      <c r="G289" s="1100"/>
      <c r="H289" s="1100"/>
      <c r="I289" s="1101"/>
      <c r="J289" s="728">
        <f>J287+J288</f>
        <v>61.111111111111114</v>
      </c>
      <c r="K289" s="719"/>
    </row>
    <row r="290" spans="1:15" s="51" customFormat="1" x14ac:dyDescent="0.3">
      <c r="A290" s="734"/>
      <c r="B290" s="888" t="s">
        <v>69</v>
      </c>
      <c r="C290" s="1107"/>
      <c r="D290" s="1107"/>
      <c r="E290" s="1107"/>
      <c r="F290" s="1107"/>
      <c r="G290" s="1107"/>
      <c r="H290" s="1107"/>
      <c r="I290" s="889"/>
      <c r="J290" s="736">
        <f>J255+J260+J268+J273+J281+J285+J289</f>
        <v>4181.7709444444445</v>
      </c>
      <c r="K290" s="725">
        <f>J290*300</f>
        <v>1254531.2833333334</v>
      </c>
    </row>
    <row r="291" spans="1:15" s="51" customFormat="1" x14ac:dyDescent="0.3">
      <c r="A291" s="719"/>
      <c r="B291" s="719"/>
      <c r="C291" s="719"/>
      <c r="D291" s="719"/>
      <c r="E291" s="719"/>
      <c r="F291" s="719"/>
      <c r="G291" s="719"/>
      <c r="H291" s="719"/>
      <c r="I291" s="725"/>
      <c r="J291" s="725"/>
      <c r="K291" s="719"/>
    </row>
    <row r="292" spans="1:15" s="51" customFormat="1" x14ac:dyDescent="0.3">
      <c r="A292" s="901" t="s">
        <v>4</v>
      </c>
      <c r="B292" s="901"/>
      <c r="C292" s="901"/>
      <c r="D292" s="901"/>
      <c r="E292" s="901"/>
      <c r="F292" s="901"/>
      <c r="G292" s="901"/>
      <c r="H292" s="901"/>
      <c r="I292" s="901"/>
      <c r="J292" s="901"/>
      <c r="K292" s="719"/>
    </row>
    <row r="293" spans="1:15" s="51" customFormat="1" x14ac:dyDescent="0.3">
      <c r="A293" s="901" t="s">
        <v>5</v>
      </c>
      <c r="B293" s="901"/>
      <c r="C293" s="901"/>
      <c r="D293" s="901"/>
      <c r="E293" s="901"/>
      <c r="F293" s="901"/>
      <c r="G293" s="901"/>
      <c r="H293" s="901"/>
      <c r="I293" s="901"/>
      <c r="J293" s="901"/>
      <c r="K293" s="719"/>
    </row>
    <row r="294" spans="1:15" s="51" customFormat="1" x14ac:dyDescent="0.3">
      <c r="A294" s="901" t="s">
        <v>6</v>
      </c>
      <c r="B294" s="901"/>
      <c r="C294" s="901"/>
      <c r="D294" s="901"/>
      <c r="E294" s="901"/>
      <c r="F294" s="901"/>
      <c r="G294" s="901"/>
      <c r="H294" s="901"/>
      <c r="I294" s="901"/>
      <c r="J294" s="901"/>
      <c r="K294" s="719"/>
    </row>
    <row r="295" spans="1:15" s="51" customFormat="1" x14ac:dyDescent="0.3">
      <c r="A295" s="910" t="s">
        <v>287</v>
      </c>
      <c r="B295" s="910"/>
      <c r="C295" s="910"/>
      <c r="D295" s="910"/>
      <c r="E295" s="910"/>
      <c r="F295" s="910"/>
      <c r="G295" s="910"/>
      <c r="H295" s="910"/>
      <c r="I295" s="910"/>
      <c r="J295" s="910"/>
      <c r="K295" s="719"/>
    </row>
    <row r="296" spans="1:15" s="51" customFormat="1" x14ac:dyDescent="0.3">
      <c r="A296" s="903" t="s">
        <v>305</v>
      </c>
      <c r="B296" s="903"/>
      <c r="C296" s="903"/>
      <c r="D296" s="903"/>
      <c r="E296" s="903"/>
      <c r="F296" s="903"/>
      <c r="G296" s="903"/>
      <c r="H296" s="903"/>
      <c r="I296" s="903"/>
      <c r="J296" s="903"/>
      <c r="K296" s="719"/>
    </row>
    <row r="297" spans="1:15" s="51" customFormat="1" x14ac:dyDescent="0.3">
      <c r="A297" s="1095" t="s">
        <v>296</v>
      </c>
      <c r="B297" s="1095"/>
      <c r="C297" s="1095"/>
      <c r="D297" s="1095"/>
      <c r="E297" s="1095"/>
      <c r="F297" s="1095"/>
      <c r="G297" s="1095"/>
      <c r="H297" s="1095"/>
      <c r="I297" s="1095"/>
      <c r="J297" s="1095"/>
      <c r="K297" s="719"/>
    </row>
    <row r="298" spans="1:15" s="51" customFormat="1" x14ac:dyDescent="0.3">
      <c r="A298" s="719"/>
      <c r="B298" s="719"/>
      <c r="C298" s="719"/>
      <c r="D298" s="719"/>
      <c r="E298" s="719"/>
      <c r="F298" s="719"/>
      <c r="G298" s="719"/>
      <c r="H298" s="719"/>
      <c r="I298" s="725"/>
      <c r="J298" s="733"/>
      <c r="K298" s="719"/>
      <c r="M298" s="1119" t="s">
        <v>122</v>
      </c>
      <c r="N298" s="1119"/>
      <c r="O298" s="1119"/>
    </row>
    <row r="299" spans="1:15" s="51" customFormat="1" ht="75" customHeight="1" x14ac:dyDescent="0.3">
      <c r="A299" s="826" t="s">
        <v>9</v>
      </c>
      <c r="B299" s="883" t="s">
        <v>10</v>
      </c>
      <c r="C299" s="883"/>
      <c r="D299" s="883"/>
      <c r="E299" s="883"/>
      <c r="F299" s="826" t="s">
        <v>11</v>
      </c>
      <c r="G299" s="883" t="s">
        <v>12</v>
      </c>
      <c r="H299" s="883"/>
      <c r="I299" s="726" t="s">
        <v>31</v>
      </c>
      <c r="J299" s="726" t="s">
        <v>32</v>
      </c>
      <c r="K299" s="719"/>
    </row>
    <row r="300" spans="1:15" s="51" customFormat="1" x14ac:dyDescent="0.3">
      <c r="A300" s="825">
        <v>1</v>
      </c>
      <c r="B300" s="884">
        <v>2</v>
      </c>
      <c r="C300" s="884"/>
      <c r="D300" s="884"/>
      <c r="E300" s="884"/>
      <c r="F300" s="825">
        <v>3</v>
      </c>
      <c r="G300" s="884">
        <v>3</v>
      </c>
      <c r="H300" s="1099"/>
      <c r="I300" s="726">
        <v>4</v>
      </c>
      <c r="J300" s="727">
        <v>5</v>
      </c>
      <c r="K300" s="719"/>
    </row>
    <row r="301" spans="1:15" s="51" customFormat="1" ht="18.75" customHeight="1" x14ac:dyDescent="0.3">
      <c r="A301" s="1096" t="s">
        <v>18</v>
      </c>
      <c r="B301" s="1097"/>
      <c r="C301" s="1097"/>
      <c r="D301" s="1097"/>
      <c r="E301" s="1097"/>
      <c r="F301" s="1097"/>
      <c r="G301" s="1097"/>
      <c r="H301" s="1097"/>
      <c r="I301" s="1097"/>
      <c r="J301" s="1098"/>
      <c r="K301" s="719"/>
    </row>
    <row r="302" spans="1:15" s="51" customFormat="1" ht="49.5" customHeight="1" x14ac:dyDescent="0.3">
      <c r="A302" s="1102" t="s">
        <v>14</v>
      </c>
      <c r="B302" s="1103"/>
      <c r="C302" s="1103"/>
      <c r="D302" s="1103"/>
      <c r="E302" s="1103"/>
      <c r="F302" s="1103"/>
      <c r="G302" s="1103"/>
      <c r="H302" s="1103"/>
      <c r="I302" s="1103"/>
      <c r="J302" s="1104"/>
      <c r="K302" s="719"/>
    </row>
    <row r="303" spans="1:15" s="51" customFormat="1" ht="50.25" customHeight="1" x14ac:dyDescent="0.3">
      <c r="A303" s="825">
        <v>1</v>
      </c>
      <c r="B303" s="884" t="str">
        <f>КДЦ!B5</f>
        <v>менеджер по культурно-массовому досугу 2 категории</v>
      </c>
      <c r="C303" s="884"/>
      <c r="D303" s="884"/>
      <c r="E303" s="884"/>
      <c r="F303" s="825" t="s">
        <v>162</v>
      </c>
      <c r="G303" s="908">
        <f>КДЦ!N5</f>
        <v>32.799999999999997</v>
      </c>
      <c r="H303" s="908"/>
      <c r="I303" s="726">
        <f>J303/G303</f>
        <v>200.00000000000003</v>
      </c>
      <c r="J303" s="728">
        <f>КДЦ!P5</f>
        <v>6560</v>
      </c>
      <c r="K303" s="719"/>
    </row>
    <row r="304" spans="1:15" s="51" customFormat="1" ht="50.25" customHeight="1" x14ac:dyDescent="0.3">
      <c r="A304" s="825">
        <v>2</v>
      </c>
      <c r="B304" s="884" t="str">
        <f>КДЦ!B11</f>
        <v>Культ организатор 1-й категории</v>
      </c>
      <c r="C304" s="884"/>
      <c r="D304" s="884"/>
      <c r="E304" s="884"/>
      <c r="F304" s="825"/>
      <c r="G304" s="908">
        <f>КДЦ!N11</f>
        <v>5.6</v>
      </c>
      <c r="H304" s="908"/>
      <c r="I304" s="726">
        <f t="shared" ref="I304:I305" si="21">J304/G304</f>
        <v>100</v>
      </c>
      <c r="J304" s="728">
        <f>КДЦ!P11</f>
        <v>560</v>
      </c>
      <c r="K304" s="719"/>
    </row>
    <row r="305" spans="1:11" s="51" customFormat="1" ht="50.25" customHeight="1" x14ac:dyDescent="0.3">
      <c r="A305" s="825">
        <v>3</v>
      </c>
      <c r="B305" s="884" t="str">
        <f>КДЦ!B12</f>
        <v>специалист по связи с общественностью</v>
      </c>
      <c r="C305" s="884"/>
      <c r="D305" s="884"/>
      <c r="E305" s="884"/>
      <c r="F305" s="825"/>
      <c r="G305" s="908">
        <f>КДЦ!N12</f>
        <v>32.799999999999997</v>
      </c>
      <c r="H305" s="908"/>
      <c r="I305" s="726">
        <f t="shared" si="21"/>
        <v>100.00000000000001</v>
      </c>
      <c r="J305" s="728">
        <f>КДЦ!P12</f>
        <v>3280</v>
      </c>
      <c r="K305" s="719"/>
    </row>
    <row r="306" spans="1:11" s="51" customFormat="1" x14ac:dyDescent="0.3">
      <c r="A306" s="825"/>
      <c r="B306" s="1099" t="s">
        <v>63</v>
      </c>
      <c r="C306" s="1100"/>
      <c r="D306" s="1100"/>
      <c r="E306" s="1100"/>
      <c r="F306" s="1100"/>
      <c r="G306" s="1100"/>
      <c r="H306" s="1100"/>
      <c r="I306" s="1101"/>
      <c r="J306" s="728">
        <f>J303+J304+J305</f>
        <v>10400</v>
      </c>
      <c r="K306" s="719"/>
    </row>
    <row r="307" spans="1:11" s="51" customFormat="1" ht="64.5" customHeight="1" x14ac:dyDescent="0.3">
      <c r="A307" s="1102" t="s">
        <v>15</v>
      </c>
      <c r="B307" s="1103"/>
      <c r="C307" s="1103"/>
      <c r="D307" s="1103"/>
      <c r="E307" s="1103"/>
      <c r="F307" s="1103"/>
      <c r="G307" s="1103"/>
      <c r="H307" s="1103"/>
      <c r="I307" s="1103"/>
      <c r="J307" s="1104"/>
      <c r="K307" s="719"/>
    </row>
    <row r="308" spans="1:11" s="51" customFormat="1" x14ac:dyDescent="0.3">
      <c r="A308" s="825">
        <v>1</v>
      </c>
      <c r="B308" s="884" t="str">
        <f>'КДЦ 2'!A11</f>
        <v>ГСМ</v>
      </c>
      <c r="C308" s="884"/>
      <c r="D308" s="884"/>
      <c r="E308" s="884"/>
      <c r="F308" s="825" t="str">
        <f>'КДЦ 2'!V11</f>
        <v>Л.</v>
      </c>
      <c r="G308" s="908">
        <f>'КДЦ 2'!M11</f>
        <v>0.6</v>
      </c>
      <c r="H308" s="908"/>
      <c r="I308" s="726">
        <f>J308/G308</f>
        <v>461.5555555555556</v>
      </c>
      <c r="J308" s="728">
        <f>'КДЦ 2'!N11</f>
        <v>276.93333333333334</v>
      </c>
      <c r="K308" s="719"/>
    </row>
    <row r="309" spans="1:11" s="51" customFormat="1" x14ac:dyDescent="0.3">
      <c r="A309" s="825"/>
      <c r="B309" s="1099" t="s">
        <v>63</v>
      </c>
      <c r="C309" s="1100"/>
      <c r="D309" s="1100"/>
      <c r="E309" s="1100"/>
      <c r="F309" s="1100"/>
      <c r="G309" s="1100"/>
      <c r="H309" s="1100"/>
      <c r="I309" s="1101"/>
      <c r="J309" s="728">
        <f>J308</f>
        <v>276.93333333333334</v>
      </c>
      <c r="K309" s="719"/>
    </row>
    <row r="310" spans="1:11" s="51" customFormat="1" ht="63" customHeight="1" x14ac:dyDescent="0.3">
      <c r="A310" s="1102" t="s">
        <v>16</v>
      </c>
      <c r="B310" s="1103"/>
      <c r="C310" s="1103"/>
      <c r="D310" s="1103"/>
      <c r="E310" s="1103"/>
      <c r="F310" s="1103"/>
      <c r="G310" s="1103"/>
      <c r="H310" s="1103"/>
      <c r="I310" s="1103"/>
      <c r="J310" s="1104"/>
      <c r="K310" s="719"/>
    </row>
    <row r="311" spans="1:11" s="51" customFormat="1" ht="20.25" customHeight="1" x14ac:dyDescent="0.3">
      <c r="A311" s="825"/>
      <c r="B311" s="1099"/>
      <c r="C311" s="1100"/>
      <c r="D311" s="1100"/>
      <c r="E311" s="1100"/>
      <c r="F311" s="1100"/>
      <c r="G311" s="1100"/>
      <c r="H311" s="1100"/>
      <c r="I311" s="1101"/>
      <c r="J311" s="728"/>
      <c r="K311" s="719"/>
    </row>
    <row r="312" spans="1:11" s="51" customFormat="1" ht="23.25" customHeight="1" x14ac:dyDescent="0.3">
      <c r="A312" s="1096" t="s">
        <v>17</v>
      </c>
      <c r="B312" s="1097"/>
      <c r="C312" s="1097"/>
      <c r="D312" s="1097"/>
      <c r="E312" s="1097"/>
      <c r="F312" s="1097"/>
      <c r="G312" s="1097"/>
      <c r="H312" s="1097"/>
      <c r="I312" s="1097"/>
      <c r="J312" s="1098"/>
      <c r="K312" s="719"/>
    </row>
    <row r="313" spans="1:11" s="51" customFormat="1" ht="46.5" customHeight="1" x14ac:dyDescent="0.3">
      <c r="A313" s="1102" t="s">
        <v>19</v>
      </c>
      <c r="B313" s="1103"/>
      <c r="C313" s="1103"/>
      <c r="D313" s="1103"/>
      <c r="E313" s="1103"/>
      <c r="F313" s="1103"/>
      <c r="G313" s="1103"/>
      <c r="H313" s="1103"/>
      <c r="I313" s="1103"/>
      <c r="J313" s="1104"/>
      <c r="K313" s="719"/>
    </row>
    <row r="314" spans="1:11" s="51" customFormat="1" ht="42" customHeight="1" x14ac:dyDescent="0.3">
      <c r="A314" s="825">
        <v>1</v>
      </c>
      <c r="B314" s="885" t="str">
        <f>КДЦ3!A27</f>
        <v>Административно-управленческий персонал</v>
      </c>
      <c r="C314" s="885"/>
      <c r="D314" s="885"/>
      <c r="E314" s="885"/>
      <c r="F314" s="825" t="s">
        <v>162</v>
      </c>
      <c r="G314" s="909">
        <f>КДЦ3!M27</f>
        <v>8.8888888888888878E-2</v>
      </c>
      <c r="H314" s="909"/>
      <c r="I314" s="726">
        <f>J314/G314</f>
        <v>46702.75</v>
      </c>
      <c r="J314" s="728">
        <f>КДЦ3!O27</f>
        <v>4151.3555555555549</v>
      </c>
      <c r="K314" s="719"/>
    </row>
    <row r="315" spans="1:11" s="51" customFormat="1" ht="36" customHeight="1" x14ac:dyDescent="0.3">
      <c r="A315" s="825">
        <v>2</v>
      </c>
      <c r="B315" s="885" t="str">
        <f>КДЦ3!A28</f>
        <v>Прочий персонал</v>
      </c>
      <c r="C315" s="885"/>
      <c r="D315" s="885"/>
      <c r="E315" s="885"/>
      <c r="F315" s="825" t="s">
        <v>162</v>
      </c>
      <c r="G315" s="909">
        <f>КДЦ3!M28</f>
        <v>0.47015873015873016</v>
      </c>
      <c r="H315" s="909"/>
      <c r="I315" s="726">
        <f>J315/G315</f>
        <v>8223.3457123565186</v>
      </c>
      <c r="J315" s="728">
        <f>КДЦ3!O28</f>
        <v>3866.2777777777787</v>
      </c>
      <c r="K315" s="719"/>
    </row>
    <row r="316" spans="1:11" s="51" customFormat="1" x14ac:dyDescent="0.3">
      <c r="A316" s="825"/>
      <c r="B316" s="1099" t="s">
        <v>63</v>
      </c>
      <c r="C316" s="1100"/>
      <c r="D316" s="1100"/>
      <c r="E316" s="1100"/>
      <c r="F316" s="1100"/>
      <c r="G316" s="1100"/>
      <c r="H316" s="1100"/>
      <c r="I316" s="1101"/>
      <c r="J316" s="728">
        <f>J314+J315</f>
        <v>8017.6333333333332</v>
      </c>
      <c r="K316" s="719"/>
    </row>
    <row r="317" spans="1:11" s="51" customFormat="1" ht="24" customHeight="1" x14ac:dyDescent="0.3">
      <c r="A317" s="1102" t="s">
        <v>20</v>
      </c>
      <c r="B317" s="1103"/>
      <c r="C317" s="1103"/>
      <c r="D317" s="1103"/>
      <c r="E317" s="1103"/>
      <c r="F317" s="1103"/>
      <c r="G317" s="1103"/>
      <c r="H317" s="1103"/>
      <c r="I317" s="1103"/>
      <c r="J317" s="1104"/>
      <c r="K317" s="719"/>
    </row>
    <row r="318" spans="1:11" s="51" customFormat="1" ht="27" customHeight="1" x14ac:dyDescent="0.3">
      <c r="A318" s="825">
        <v>1</v>
      </c>
      <c r="B318" s="885" t="str">
        <f>КДЦ3!A6</f>
        <v>оплата потребления газа</v>
      </c>
      <c r="C318" s="885"/>
      <c r="D318" s="885"/>
      <c r="E318" s="885"/>
      <c r="F318" s="826" t="str">
        <f>КДЦ3!N6</f>
        <v>м3</v>
      </c>
      <c r="G318" s="908">
        <f>КДЦ3!M6</f>
        <v>0.63674415809259044</v>
      </c>
      <c r="H318" s="908"/>
      <c r="I318" s="726">
        <f>J318/G318</f>
        <v>5731.1</v>
      </c>
      <c r="J318" s="728">
        <f>КДЦ3!O6</f>
        <v>3649.2444444444454</v>
      </c>
      <c r="K318" s="719"/>
    </row>
    <row r="319" spans="1:11" s="51" customFormat="1" ht="42.75" customHeight="1" x14ac:dyDescent="0.3">
      <c r="A319" s="825">
        <v>2</v>
      </c>
      <c r="B319" s="885" t="str">
        <f>КДЦ3!A7</f>
        <v>оплата потребления электрической энергии</v>
      </c>
      <c r="C319" s="885"/>
      <c r="D319" s="885"/>
      <c r="E319" s="885"/>
      <c r="F319" s="826" t="str">
        <f>КДЦ3!N7</f>
        <v>кват/ч</v>
      </c>
      <c r="G319" s="908">
        <f>КДЦ3!M7</f>
        <v>429.55326460481103</v>
      </c>
      <c r="H319" s="908"/>
      <c r="I319" s="726">
        <f t="shared" ref="I319:I320" si="22">J319/G319</f>
        <v>7.76</v>
      </c>
      <c r="J319" s="728">
        <f>КДЦ3!O7</f>
        <v>3333.3333333333335</v>
      </c>
      <c r="K319" s="719"/>
    </row>
    <row r="320" spans="1:11" s="51" customFormat="1" ht="43.5" customHeight="1" x14ac:dyDescent="0.3">
      <c r="A320" s="825">
        <v>3</v>
      </c>
      <c r="B320" s="885" t="str">
        <f>КДЦ3!A8</f>
        <v>оплата потребления водоснабжения</v>
      </c>
      <c r="C320" s="885"/>
      <c r="D320" s="885"/>
      <c r="E320" s="885"/>
      <c r="F320" s="826" t="str">
        <f>КДЦ3!N8</f>
        <v>м3</v>
      </c>
      <c r="G320" s="908">
        <f>КДЦ3!M8</f>
        <v>2.7753493470990658</v>
      </c>
      <c r="H320" s="908"/>
      <c r="I320" s="726">
        <f t="shared" si="22"/>
        <v>80.069999999999993</v>
      </c>
      <c r="J320" s="728">
        <f>КДЦ3!O8</f>
        <v>222.22222222222217</v>
      </c>
      <c r="K320" s="719"/>
    </row>
    <row r="321" spans="1:11" s="51" customFormat="1" x14ac:dyDescent="0.3">
      <c r="A321" s="825"/>
      <c r="B321" s="1099" t="s">
        <v>63</v>
      </c>
      <c r="C321" s="1100"/>
      <c r="D321" s="1100"/>
      <c r="E321" s="1100"/>
      <c r="F321" s="1100"/>
      <c r="G321" s="1100"/>
      <c r="H321" s="1100"/>
      <c r="I321" s="1101"/>
      <c r="J321" s="728">
        <f>J318+J319+J320</f>
        <v>7204.8000000000011</v>
      </c>
      <c r="K321" s="719"/>
    </row>
    <row r="322" spans="1:11" s="51" customFormat="1" ht="39.75" customHeight="1" x14ac:dyDescent="0.3">
      <c r="A322" s="1096" t="s">
        <v>21</v>
      </c>
      <c r="B322" s="1097"/>
      <c r="C322" s="1097"/>
      <c r="D322" s="1097"/>
      <c r="E322" s="1097"/>
      <c r="F322" s="1097"/>
      <c r="G322" s="1097"/>
      <c r="H322" s="1097"/>
      <c r="I322" s="1097"/>
      <c r="J322" s="1098"/>
      <c r="K322" s="719"/>
    </row>
    <row r="323" spans="1:11" s="51" customFormat="1" ht="37.5" customHeight="1" x14ac:dyDescent="0.3">
      <c r="A323" s="825">
        <v>1</v>
      </c>
      <c r="B323" s="885" t="str">
        <f>КДЦ3!A11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323" s="885"/>
      <c r="D323" s="885"/>
      <c r="E323" s="885"/>
      <c r="F323" s="825" t="str">
        <f>КДЦ3!N11</f>
        <v>договор</v>
      </c>
      <c r="G323" s="883">
        <f>КДЦ3!M11</f>
        <v>3.3333333333333333E-2</v>
      </c>
      <c r="H323" s="883"/>
      <c r="I323" s="726">
        <f>J323/G323</f>
        <v>24000</v>
      </c>
      <c r="J323" s="728">
        <f>КДЦ3!O11</f>
        <v>800</v>
      </c>
      <c r="K323" s="719"/>
    </row>
    <row r="324" spans="1:11" s="51" customFormat="1" ht="49.5" customHeight="1" x14ac:dyDescent="0.3">
      <c r="A324" s="825">
        <v>2</v>
      </c>
      <c r="B324" s="885" t="str">
        <f>КДЦ3!A12</f>
        <v>Техническое обслуживание газового оборудования, дымоходов</v>
      </c>
      <c r="C324" s="885"/>
      <c r="D324" s="885"/>
      <c r="E324" s="885"/>
      <c r="F324" s="825" t="str">
        <f>КДЦ3!N12</f>
        <v>договор</v>
      </c>
      <c r="G324" s="883">
        <f>КДЦ3!M12</f>
        <v>3.3333333333333333E-2</v>
      </c>
      <c r="H324" s="883"/>
      <c r="I324" s="726">
        <f t="shared" ref="I324:I328" si="23">J324/G324</f>
        <v>10666.66666666667</v>
      </c>
      <c r="J324" s="728">
        <f>КДЦ3!O12</f>
        <v>355.55555555555566</v>
      </c>
      <c r="K324" s="719"/>
    </row>
    <row r="325" spans="1:11" s="51" customFormat="1" ht="93.75" customHeight="1" x14ac:dyDescent="0.3">
      <c r="A325" s="825">
        <v>3</v>
      </c>
      <c r="B325" s="885" t="str">
        <f>КДЦ3!A13</f>
        <v>Техническое обслуживание и регламентно-профилактический ремонт, в том числе на подготовку отопительной системы к зимнему сезону</v>
      </c>
      <c r="C325" s="885"/>
      <c r="D325" s="885"/>
      <c r="E325" s="885"/>
      <c r="F325" s="825" t="str">
        <f>КДЦ3!N13</f>
        <v>договор</v>
      </c>
      <c r="G325" s="883">
        <f>КДЦ3!M13</f>
        <v>3.3333333333333333E-2</v>
      </c>
      <c r="H325" s="883"/>
      <c r="I325" s="726">
        <f t="shared" si="23"/>
        <v>33333.333333333321</v>
      </c>
      <c r="J325" s="728">
        <f>КДЦ3!O13</f>
        <v>1111.1111111111106</v>
      </c>
      <c r="K325" s="719"/>
    </row>
    <row r="326" spans="1:11" s="51" customFormat="1" ht="60.75" customHeight="1" x14ac:dyDescent="0.3">
      <c r="A326" s="825">
        <v>4</v>
      </c>
      <c r="B326" s="885" t="str">
        <f>КДЦ3!A14</f>
        <v>Техническое обслуживание и регламентно-профилактический ремонт электрооборудования</v>
      </c>
      <c r="C326" s="885"/>
      <c r="D326" s="885"/>
      <c r="E326" s="885"/>
      <c r="F326" s="825" t="str">
        <f>КДЦ3!N14</f>
        <v>договор</v>
      </c>
      <c r="G326" s="883">
        <f>КДЦ3!M14</f>
        <v>3.3333333333333333E-2</v>
      </c>
      <c r="H326" s="883"/>
      <c r="I326" s="726">
        <f t="shared" si="23"/>
        <v>26666.666666666661</v>
      </c>
      <c r="J326" s="728">
        <f>КДЦ3!O14</f>
        <v>888.88888888888869</v>
      </c>
      <c r="K326" s="719"/>
    </row>
    <row r="327" spans="1:11" s="51" customFormat="1" ht="42" customHeight="1" x14ac:dyDescent="0.3">
      <c r="A327" s="825">
        <v>5</v>
      </c>
      <c r="B327" s="885" t="str">
        <f>КДЦ3!A15</f>
        <v>Вывоз твердых бытовых отходов, утилизация отходов</v>
      </c>
      <c r="C327" s="885"/>
      <c r="D327" s="885"/>
      <c r="E327" s="885"/>
      <c r="F327" s="825" t="str">
        <f>КДЦ3!N15</f>
        <v>договор</v>
      </c>
      <c r="G327" s="883">
        <f>КДЦ3!M15</f>
        <v>3.3333333333333333E-2</v>
      </c>
      <c r="H327" s="883"/>
      <c r="I327" s="726">
        <f t="shared" si="23"/>
        <v>26666.666666666661</v>
      </c>
      <c r="J327" s="728">
        <f>КДЦ3!O15</f>
        <v>888.88888888888869</v>
      </c>
      <c r="K327" s="719"/>
    </row>
    <row r="328" spans="1:11" s="51" customFormat="1" ht="48" customHeight="1" x14ac:dyDescent="0.3">
      <c r="A328" s="825">
        <v>6</v>
      </c>
      <c r="B328" s="890" t="str">
        <f>КДЦ3!A16</f>
        <v>Прочие затраты на содержание объектов недвижимого имущества</v>
      </c>
      <c r="C328" s="891"/>
      <c r="D328" s="891"/>
      <c r="E328" s="892"/>
      <c r="F328" s="825" t="s">
        <v>82</v>
      </c>
      <c r="G328" s="883">
        <f>КДЦ3!M16</f>
        <v>3.3333333333333333E-2</v>
      </c>
      <c r="H328" s="883"/>
      <c r="I328" s="726">
        <f t="shared" si="23"/>
        <v>80000</v>
      </c>
      <c r="J328" s="728">
        <f>КДЦ3!O16</f>
        <v>2666.6666666666665</v>
      </c>
      <c r="K328" s="719"/>
    </row>
    <row r="329" spans="1:11" s="51" customFormat="1" x14ac:dyDescent="0.3">
      <c r="A329" s="825"/>
      <c r="B329" s="1099" t="s">
        <v>63</v>
      </c>
      <c r="C329" s="1100"/>
      <c r="D329" s="1100"/>
      <c r="E329" s="1100"/>
      <c r="F329" s="1100"/>
      <c r="G329" s="1100"/>
      <c r="H329" s="1100"/>
      <c r="I329" s="1101"/>
      <c r="J329" s="728">
        <f>J323+J324+J325+J326+J327+J328</f>
        <v>6711.1111111111095</v>
      </c>
      <c r="K329" s="719"/>
    </row>
    <row r="330" spans="1:11" s="51" customFormat="1" ht="24" customHeight="1" x14ac:dyDescent="0.3">
      <c r="A330" s="1102" t="s">
        <v>22</v>
      </c>
      <c r="B330" s="1103"/>
      <c r="C330" s="1103"/>
      <c r="D330" s="1103"/>
      <c r="E330" s="1103"/>
      <c r="F330" s="1103"/>
      <c r="G330" s="1103"/>
      <c r="H330" s="1103"/>
      <c r="I330" s="1103"/>
      <c r="J330" s="1104"/>
      <c r="K330" s="719"/>
    </row>
    <row r="331" spans="1:11" s="51" customFormat="1" x14ac:dyDescent="0.3">
      <c r="A331" s="825">
        <v>1</v>
      </c>
      <c r="B331" s="885" t="str">
        <f>КДЦ3!A23</f>
        <v>услуги связи</v>
      </c>
      <c r="C331" s="885"/>
      <c r="D331" s="885"/>
      <c r="E331" s="885"/>
      <c r="F331" s="825" t="str">
        <f>КДЦ3!N23</f>
        <v>мин.</v>
      </c>
      <c r="G331" s="908">
        <f>КДЦ3!M23</f>
        <v>231.48148148148138</v>
      </c>
      <c r="H331" s="908"/>
      <c r="I331" s="726">
        <f>J331/G331</f>
        <v>1.2</v>
      </c>
      <c r="J331" s="728">
        <f>КДЦ3!O23</f>
        <v>277.77777777777766</v>
      </c>
      <c r="K331" s="719"/>
    </row>
    <row r="332" spans="1:11" s="51" customFormat="1" x14ac:dyDescent="0.3">
      <c r="A332" s="825">
        <v>2</v>
      </c>
      <c r="B332" s="885" t="str">
        <f>КДЦ3!A24</f>
        <v>интернет</v>
      </c>
      <c r="C332" s="885"/>
      <c r="D332" s="885"/>
      <c r="E332" s="885"/>
      <c r="F332" s="825" t="str">
        <f>КДЦ3!N24</f>
        <v>Г.</v>
      </c>
      <c r="G332" s="908">
        <f>КДЦ3!M24</f>
        <v>56.944444444444471</v>
      </c>
      <c r="H332" s="908"/>
      <c r="I332" s="726">
        <f>J332/G332</f>
        <v>40</v>
      </c>
      <c r="J332" s="728">
        <f>КДЦ3!O24</f>
        <v>2277.7777777777787</v>
      </c>
      <c r="K332" s="719"/>
    </row>
    <row r="333" spans="1:11" s="51" customFormat="1" x14ac:dyDescent="0.3">
      <c r="A333" s="825"/>
      <c r="B333" s="1099" t="s">
        <v>63</v>
      </c>
      <c r="C333" s="1100"/>
      <c r="D333" s="1100"/>
      <c r="E333" s="1100"/>
      <c r="F333" s="1100"/>
      <c r="G333" s="1100"/>
      <c r="H333" s="1100"/>
      <c r="I333" s="1101"/>
      <c r="J333" s="728">
        <f>J331+J332</f>
        <v>2555.5555555555566</v>
      </c>
      <c r="K333" s="719"/>
    </row>
    <row r="334" spans="1:11" s="51" customFormat="1" ht="27" customHeight="1" x14ac:dyDescent="0.3">
      <c r="A334" s="1102" t="s">
        <v>23</v>
      </c>
      <c r="B334" s="1103"/>
      <c r="C334" s="1103"/>
      <c r="D334" s="1103"/>
      <c r="E334" s="1103"/>
      <c r="F334" s="1103"/>
      <c r="G334" s="1103"/>
      <c r="H334" s="1103"/>
      <c r="I334" s="1103"/>
      <c r="J334" s="1104"/>
      <c r="K334" s="719"/>
    </row>
    <row r="335" spans="1:11" s="51" customFormat="1" ht="58.5" customHeight="1" x14ac:dyDescent="0.3">
      <c r="A335" s="825">
        <v>1</v>
      </c>
      <c r="B335" s="885" t="str">
        <f>КДЦ3!A33</f>
        <v>Обучение персонала (электро, тепло, газовое хозяйство, пожарная безопасность, охрана труда и др.)</v>
      </c>
      <c r="C335" s="885"/>
      <c r="D335" s="885"/>
      <c r="E335" s="885"/>
      <c r="F335" s="825" t="str">
        <f>КДЦ3!N33</f>
        <v>чел.</v>
      </c>
      <c r="G335" s="1108">
        <f>КДЦ3!M33</f>
        <v>7.94</v>
      </c>
      <c r="H335" s="1108"/>
      <c r="I335" s="726">
        <f>J335/G335</f>
        <v>34.984606773019856</v>
      </c>
      <c r="J335" s="728">
        <f>КДЦ3!O33</f>
        <v>277.77777777777766</v>
      </c>
      <c r="K335" s="719"/>
    </row>
    <row r="336" spans="1:11" s="51" customFormat="1" ht="40.5" customHeight="1" x14ac:dyDescent="0.3">
      <c r="A336" s="825">
        <v>2</v>
      </c>
      <c r="B336" s="885" t="str">
        <f>КДЦ3!A34</f>
        <v>Обслуживание программных комплексов</v>
      </c>
      <c r="C336" s="885"/>
      <c r="D336" s="885"/>
      <c r="E336" s="885"/>
      <c r="F336" s="825" t="str">
        <f>КДЦ3!N34</f>
        <v>договор</v>
      </c>
      <c r="G336" s="1109">
        <f>КДЦ3!M34</f>
        <v>0.02</v>
      </c>
      <c r="H336" s="1109"/>
      <c r="I336" s="726">
        <f>J336/G336</f>
        <v>16666.666666666664</v>
      </c>
      <c r="J336" s="728">
        <f>КДЦ3!O34</f>
        <v>333.33333333333331</v>
      </c>
      <c r="K336" s="719"/>
    </row>
    <row r="337" spans="1:11" s="51" customFormat="1" x14ac:dyDescent="0.3">
      <c r="A337" s="825"/>
      <c r="B337" s="1099" t="s">
        <v>63</v>
      </c>
      <c r="C337" s="1100"/>
      <c r="D337" s="1100"/>
      <c r="E337" s="1100"/>
      <c r="F337" s="1100"/>
      <c r="G337" s="1100"/>
      <c r="H337" s="1100"/>
      <c r="I337" s="1101"/>
      <c r="J337" s="728">
        <f>J335+J336</f>
        <v>611.11111111111097</v>
      </c>
      <c r="K337" s="719"/>
    </row>
    <row r="338" spans="1:11" s="51" customFormat="1" x14ac:dyDescent="0.3">
      <c r="A338" s="734"/>
      <c r="B338" s="888" t="s">
        <v>69</v>
      </c>
      <c r="C338" s="1107"/>
      <c r="D338" s="1107"/>
      <c r="E338" s="1107"/>
      <c r="F338" s="1107"/>
      <c r="G338" s="1107"/>
      <c r="H338" s="1107"/>
      <c r="I338" s="889"/>
      <c r="J338" s="736">
        <f>J306+J309+J316+J321+J329+J333+J337</f>
        <v>35777.144444444442</v>
      </c>
      <c r="K338" s="725">
        <f>J338*30</f>
        <v>1073314.3333333333</v>
      </c>
    </row>
    <row r="339" spans="1:11" s="51" customFormat="1" x14ac:dyDescent="0.3">
      <c r="A339" s="719"/>
      <c r="B339" s="719"/>
      <c r="C339" s="719"/>
      <c r="D339" s="719"/>
      <c r="E339" s="719"/>
      <c r="F339" s="719"/>
      <c r="G339" s="719"/>
      <c r="H339" s="719"/>
      <c r="I339" s="725"/>
      <c r="J339" s="725"/>
      <c r="K339" s="725">
        <f>K238+K290+K338</f>
        <v>6647407.9499999993</v>
      </c>
    </row>
    <row r="340" spans="1:11" s="51" customFormat="1" x14ac:dyDescent="0.3">
      <c r="A340" s="719"/>
      <c r="B340" s="719"/>
      <c r="C340" s="719"/>
      <c r="D340" s="719"/>
      <c r="E340" s="719"/>
      <c r="F340" s="719"/>
      <c r="G340" s="719"/>
      <c r="H340" s="719"/>
      <c r="I340" s="725"/>
      <c r="J340" s="725"/>
      <c r="K340" s="725"/>
    </row>
    <row r="341" spans="1:11" s="51" customFormat="1" x14ac:dyDescent="0.3">
      <c r="A341" s="901" t="s">
        <v>4</v>
      </c>
      <c r="B341" s="901"/>
      <c r="C341" s="901"/>
      <c r="D341" s="901"/>
      <c r="E341" s="901"/>
      <c r="F341" s="901"/>
      <c r="G341" s="901"/>
      <c r="H341" s="901"/>
      <c r="I341" s="901"/>
      <c r="J341" s="901"/>
      <c r="K341" s="719"/>
    </row>
    <row r="342" spans="1:11" s="51" customFormat="1" x14ac:dyDescent="0.3">
      <c r="A342" s="901" t="s">
        <v>5</v>
      </c>
      <c r="B342" s="901"/>
      <c r="C342" s="901"/>
      <c r="D342" s="901"/>
      <c r="E342" s="901"/>
      <c r="F342" s="901"/>
      <c r="G342" s="901"/>
      <c r="H342" s="901"/>
      <c r="I342" s="901"/>
      <c r="J342" s="901"/>
      <c r="K342" s="725"/>
    </row>
    <row r="343" spans="1:11" s="51" customFormat="1" x14ac:dyDescent="0.3">
      <c r="A343" s="901" t="s">
        <v>6</v>
      </c>
      <c r="B343" s="901"/>
      <c r="C343" s="901"/>
      <c r="D343" s="901"/>
      <c r="E343" s="901"/>
      <c r="F343" s="901"/>
      <c r="G343" s="901"/>
      <c r="H343" s="901"/>
      <c r="I343" s="901"/>
      <c r="J343" s="901"/>
      <c r="K343" s="719"/>
    </row>
    <row r="344" spans="1:11" s="51" customFormat="1" ht="36" customHeight="1" x14ac:dyDescent="0.3">
      <c r="A344" s="902" t="s">
        <v>292</v>
      </c>
      <c r="B344" s="902"/>
      <c r="C344" s="902"/>
      <c r="D344" s="902"/>
      <c r="E344" s="902"/>
      <c r="F344" s="902"/>
      <c r="G344" s="902"/>
      <c r="H344" s="902"/>
      <c r="I344" s="902"/>
      <c r="J344" s="902"/>
      <c r="K344" s="719"/>
    </row>
    <row r="345" spans="1:11" s="51" customFormat="1" x14ac:dyDescent="0.3">
      <c r="A345" s="903" t="s">
        <v>307</v>
      </c>
      <c r="B345" s="903"/>
      <c r="C345" s="903"/>
      <c r="D345" s="903"/>
      <c r="E345" s="903"/>
      <c r="F345" s="903"/>
      <c r="G345" s="903"/>
      <c r="H345" s="903"/>
      <c r="I345" s="903"/>
      <c r="J345" s="903"/>
      <c r="K345" s="719"/>
    </row>
    <row r="346" spans="1:11" s="51" customFormat="1" x14ac:dyDescent="0.3">
      <c r="A346" s="1095" t="s">
        <v>121</v>
      </c>
      <c r="B346" s="1095"/>
      <c r="C346" s="1095"/>
      <c r="D346" s="1095"/>
      <c r="E346" s="1095"/>
      <c r="F346" s="1095"/>
      <c r="G346" s="1095"/>
      <c r="H346" s="1095"/>
      <c r="I346" s="1095"/>
      <c r="J346" s="1095"/>
      <c r="K346" s="719"/>
    </row>
    <row r="347" spans="1:11" s="51" customFormat="1" x14ac:dyDescent="0.3">
      <c r="A347" s="719"/>
      <c r="B347" s="719"/>
      <c r="C347" s="719"/>
      <c r="D347" s="719"/>
      <c r="E347" s="719"/>
      <c r="F347" s="719"/>
      <c r="G347" s="719"/>
      <c r="H347" s="719"/>
      <c r="I347" s="725"/>
      <c r="J347" s="733"/>
      <c r="K347" s="719"/>
    </row>
    <row r="348" spans="1:11" s="51" customFormat="1" ht="75" customHeight="1" x14ac:dyDescent="0.3">
      <c r="A348" s="826" t="s">
        <v>9</v>
      </c>
      <c r="B348" s="883" t="s">
        <v>10</v>
      </c>
      <c r="C348" s="883"/>
      <c r="D348" s="883"/>
      <c r="E348" s="883"/>
      <c r="F348" s="826" t="s">
        <v>11</v>
      </c>
      <c r="G348" s="883" t="s">
        <v>12</v>
      </c>
      <c r="H348" s="883"/>
      <c r="I348" s="726" t="s">
        <v>31</v>
      </c>
      <c r="J348" s="726" t="s">
        <v>32</v>
      </c>
      <c r="K348" s="719"/>
    </row>
    <row r="349" spans="1:11" s="51" customFormat="1" x14ac:dyDescent="0.3">
      <c r="A349" s="825">
        <v>1</v>
      </c>
      <c r="B349" s="884">
        <v>2</v>
      </c>
      <c r="C349" s="884"/>
      <c r="D349" s="884"/>
      <c r="E349" s="884"/>
      <c r="F349" s="825">
        <v>3</v>
      </c>
      <c r="G349" s="884">
        <v>3</v>
      </c>
      <c r="H349" s="1099"/>
      <c r="I349" s="726">
        <v>4</v>
      </c>
      <c r="J349" s="727">
        <v>5</v>
      </c>
      <c r="K349" s="719"/>
    </row>
    <row r="350" spans="1:11" s="51" customFormat="1" ht="21" customHeight="1" x14ac:dyDescent="0.3">
      <c r="A350" s="1096" t="s">
        <v>18</v>
      </c>
      <c r="B350" s="1097"/>
      <c r="C350" s="1097"/>
      <c r="D350" s="1097"/>
      <c r="E350" s="1097"/>
      <c r="F350" s="1097"/>
      <c r="G350" s="1097"/>
      <c r="H350" s="1097"/>
      <c r="I350" s="1097"/>
      <c r="J350" s="1098"/>
      <c r="K350" s="719"/>
    </row>
    <row r="351" spans="1:11" s="51" customFormat="1" ht="36.75" customHeight="1" x14ac:dyDescent="0.3">
      <c r="A351" s="1102" t="s">
        <v>14</v>
      </c>
      <c r="B351" s="1103"/>
      <c r="C351" s="1103"/>
      <c r="D351" s="1103"/>
      <c r="E351" s="1103"/>
      <c r="F351" s="1103"/>
      <c r="G351" s="1103"/>
      <c r="H351" s="1103"/>
      <c r="I351" s="1103"/>
      <c r="J351" s="1104"/>
      <c r="K351" s="719"/>
    </row>
    <row r="352" spans="1:11" s="51" customFormat="1" ht="22.5" customHeight="1" x14ac:dyDescent="0.3">
      <c r="A352" s="825">
        <v>1</v>
      </c>
      <c r="B352" s="880" t="str">
        <f>ЦКС!B5</f>
        <v>Директор</v>
      </c>
      <c r="C352" s="881"/>
      <c r="D352" s="881"/>
      <c r="E352" s="882"/>
      <c r="F352" s="826" t="s">
        <v>162</v>
      </c>
      <c r="G352" s="883">
        <f>ЦКС!E43</f>
        <v>32.799999999999997</v>
      </c>
      <c r="H352" s="883"/>
      <c r="I352" s="726">
        <f>J352/G352</f>
        <v>476.34146341463418</v>
      </c>
      <c r="J352" s="728">
        <f>ЦКС!F43</f>
        <v>15624</v>
      </c>
      <c r="K352" s="719"/>
    </row>
    <row r="353" spans="1:11" s="51" customFormat="1" ht="22.5" customHeight="1" x14ac:dyDescent="0.3">
      <c r="A353" s="825">
        <v>2</v>
      </c>
      <c r="B353" s="880" t="str">
        <f>ЦКС!B6</f>
        <v>Художественный руководитель</v>
      </c>
      <c r="C353" s="881"/>
      <c r="D353" s="881"/>
      <c r="E353" s="882"/>
      <c r="F353" s="826" t="s">
        <v>162</v>
      </c>
      <c r="G353" s="883">
        <f>ЦКС!E44</f>
        <v>65.599999999999994</v>
      </c>
      <c r="H353" s="883"/>
      <c r="I353" s="726">
        <f t="shared" ref="I353:I365" si="24">J353/G353</f>
        <v>277.86585365853659</v>
      </c>
      <c r="J353" s="728">
        <f>ЦКС!F44</f>
        <v>18228</v>
      </c>
      <c r="K353" s="719"/>
    </row>
    <row r="354" spans="1:11" s="51" customFormat="1" ht="22.5" customHeight="1" x14ac:dyDescent="0.3">
      <c r="A354" s="825">
        <v>3</v>
      </c>
      <c r="B354" s="880" t="str">
        <f>ЦКС!B7</f>
        <v>Звукооператор</v>
      </c>
      <c r="C354" s="881"/>
      <c r="D354" s="881"/>
      <c r="E354" s="882"/>
      <c r="F354" s="826" t="s">
        <v>162</v>
      </c>
      <c r="G354" s="883">
        <f>ЦКС!E45</f>
        <v>65.599999999999994</v>
      </c>
      <c r="H354" s="883"/>
      <c r="I354" s="726">
        <f t="shared" si="24"/>
        <v>198.47560975609758</v>
      </c>
      <c r="J354" s="728">
        <f>ЦКС!F45</f>
        <v>13020</v>
      </c>
      <c r="K354" s="719"/>
    </row>
    <row r="355" spans="1:11" s="51" customFormat="1" ht="22.5" customHeight="1" x14ac:dyDescent="0.3">
      <c r="A355" s="825">
        <v>4</v>
      </c>
      <c r="B355" s="880" t="str">
        <f>ЦКС!B8</f>
        <v>Редактор клубного учреждения</v>
      </c>
      <c r="C355" s="881"/>
      <c r="D355" s="881"/>
      <c r="E355" s="882"/>
      <c r="F355" s="826" t="s">
        <v>162</v>
      </c>
      <c r="G355" s="883">
        <f>ЦКС!E46</f>
        <v>131</v>
      </c>
      <c r="H355" s="883"/>
      <c r="I355" s="726">
        <f t="shared" si="24"/>
        <v>278.29007633587787</v>
      </c>
      <c r="J355" s="728">
        <f>ЦКС!F46</f>
        <v>36456</v>
      </c>
      <c r="K355" s="719"/>
    </row>
    <row r="356" spans="1:11" s="51" customFormat="1" ht="22.5" customHeight="1" x14ac:dyDescent="0.3">
      <c r="A356" s="825">
        <v>5</v>
      </c>
      <c r="B356" s="880" t="str">
        <f>ЦКС!B9</f>
        <v>Художник - оформитель</v>
      </c>
      <c r="C356" s="881"/>
      <c r="D356" s="881"/>
      <c r="E356" s="882"/>
      <c r="F356" s="826" t="s">
        <v>162</v>
      </c>
      <c r="G356" s="883">
        <f>ЦКС!E47</f>
        <v>65.599999999999994</v>
      </c>
      <c r="H356" s="883"/>
      <c r="I356" s="726">
        <f t="shared" si="24"/>
        <v>238.17073170731709</v>
      </c>
      <c r="J356" s="728">
        <f>ЦКС!F47</f>
        <v>15624</v>
      </c>
      <c r="K356" s="719"/>
    </row>
    <row r="357" spans="1:11" s="51" customFormat="1" ht="22.5" customHeight="1" x14ac:dyDescent="0.3">
      <c r="A357" s="825">
        <v>6</v>
      </c>
      <c r="B357" s="880" t="str">
        <f>ЦКС!B10</f>
        <v>Художник по свету</v>
      </c>
      <c r="C357" s="881"/>
      <c r="D357" s="881"/>
      <c r="E357" s="882"/>
      <c r="F357" s="826" t="s">
        <v>162</v>
      </c>
      <c r="G357" s="883">
        <f>ЦКС!E48</f>
        <v>32.799999999999997</v>
      </c>
      <c r="H357" s="883"/>
      <c r="I357" s="726">
        <f t="shared" si="24"/>
        <v>158.78048780487805</v>
      </c>
      <c r="J357" s="728">
        <f>ЦКС!F48</f>
        <v>5208</v>
      </c>
      <c r="K357" s="719"/>
    </row>
    <row r="358" spans="1:11" s="51" customFormat="1" ht="22.5" customHeight="1" x14ac:dyDescent="0.3">
      <c r="A358" s="825">
        <v>7</v>
      </c>
      <c r="B358" s="880" t="str">
        <f>ЦКС!B11</f>
        <v>Руководитель кукольного кружка</v>
      </c>
      <c r="C358" s="881"/>
      <c r="D358" s="881"/>
      <c r="E358" s="882"/>
      <c r="F358" s="826" t="s">
        <v>162</v>
      </c>
      <c r="G358" s="883">
        <f>ЦКС!E49</f>
        <v>65.599999999999994</v>
      </c>
      <c r="H358" s="883"/>
      <c r="I358" s="726">
        <f t="shared" si="24"/>
        <v>277.86585365853659</v>
      </c>
      <c r="J358" s="728">
        <f>ЦКС!F49</f>
        <v>18228</v>
      </c>
      <c r="K358" s="719"/>
    </row>
    <row r="359" spans="1:11" s="51" customFormat="1" ht="22.5" customHeight="1" x14ac:dyDescent="0.3">
      <c r="A359" s="825">
        <v>8</v>
      </c>
      <c r="B359" s="880" t="str">
        <f>ЦКС!B12</f>
        <v>Руководитель кружка</v>
      </c>
      <c r="C359" s="881"/>
      <c r="D359" s="881"/>
      <c r="E359" s="882"/>
      <c r="F359" s="826" t="s">
        <v>162</v>
      </c>
      <c r="G359" s="883">
        <f>ЦКС!E50</f>
        <v>196.79999999999998</v>
      </c>
      <c r="H359" s="883"/>
      <c r="I359" s="726">
        <f t="shared" si="24"/>
        <v>206.41463414634148</v>
      </c>
      <c r="J359" s="728">
        <f>ЦКС!F50</f>
        <v>40622.400000000001</v>
      </c>
      <c r="K359" s="719"/>
    </row>
    <row r="360" spans="1:11" s="51" customFormat="1" ht="22.5" customHeight="1" x14ac:dyDescent="0.3">
      <c r="A360" s="825">
        <v>9</v>
      </c>
      <c r="B360" s="880" t="str">
        <f>ЦКС!B13</f>
        <v>Зав. костюмерной</v>
      </c>
      <c r="C360" s="881"/>
      <c r="D360" s="881"/>
      <c r="E360" s="882"/>
      <c r="F360" s="826" t="s">
        <v>162</v>
      </c>
      <c r="G360" s="883">
        <f>ЦКС!E51</f>
        <v>65.599999999999994</v>
      </c>
      <c r="H360" s="883"/>
      <c r="I360" s="726">
        <f t="shared" si="24"/>
        <v>188.9487804878049</v>
      </c>
      <c r="J360" s="728">
        <f>ЦКС!F51</f>
        <v>12395.04</v>
      </c>
      <c r="K360" s="719"/>
    </row>
    <row r="361" spans="1:11" s="51" customFormat="1" ht="22.5" customHeight="1" x14ac:dyDescent="0.3">
      <c r="A361" s="825">
        <v>10</v>
      </c>
      <c r="B361" s="880" t="str">
        <f>ЦКС!B14</f>
        <v>культ организатор</v>
      </c>
      <c r="C361" s="881"/>
      <c r="D361" s="881"/>
      <c r="E361" s="882"/>
      <c r="F361" s="826" t="s">
        <v>162</v>
      </c>
      <c r="G361" s="883">
        <f>ЦКС!E52</f>
        <v>65.599999999999994</v>
      </c>
      <c r="H361" s="883"/>
      <c r="I361" s="726">
        <f t="shared" si="24"/>
        <v>277.86585365853659</v>
      </c>
      <c r="J361" s="728">
        <f>ЦКС!F52</f>
        <v>18228</v>
      </c>
      <c r="K361" s="719"/>
    </row>
    <row r="362" spans="1:11" s="51" customFormat="1" ht="22.5" customHeight="1" x14ac:dyDescent="0.3">
      <c r="A362" s="825">
        <v>11</v>
      </c>
      <c r="B362" s="880" t="str">
        <f>ЦКС!B15</f>
        <v>хормейстер</v>
      </c>
      <c r="C362" s="881"/>
      <c r="D362" s="881"/>
      <c r="E362" s="882"/>
      <c r="F362" s="826" t="s">
        <v>162</v>
      </c>
      <c r="G362" s="883">
        <f>ЦКС!E53</f>
        <v>229.59999999999997</v>
      </c>
      <c r="H362" s="883"/>
      <c r="I362" s="726">
        <f t="shared" si="24"/>
        <v>241.34634146341472</v>
      </c>
      <c r="J362" s="728">
        <f>ЦКС!F53</f>
        <v>55413.12000000001</v>
      </c>
      <c r="K362" s="719"/>
    </row>
    <row r="363" spans="1:11" s="51" customFormat="1" ht="22.5" customHeight="1" x14ac:dyDescent="0.3">
      <c r="A363" s="825">
        <v>12</v>
      </c>
      <c r="B363" s="880" t="str">
        <f>ЦКС!B16</f>
        <v>Балетмейстер-постановщик</v>
      </c>
      <c r="C363" s="881"/>
      <c r="D363" s="881"/>
      <c r="E363" s="882"/>
      <c r="F363" s="826" t="s">
        <v>162</v>
      </c>
      <c r="G363" s="883">
        <f>ЦКС!E54</f>
        <v>65.599999999999994</v>
      </c>
      <c r="H363" s="883"/>
      <c r="I363" s="726">
        <f t="shared" si="24"/>
        <v>222.29268292682929</v>
      </c>
      <c r="J363" s="728">
        <f>ЦКС!F54</f>
        <v>14582.4</v>
      </c>
      <c r="K363" s="719"/>
    </row>
    <row r="364" spans="1:11" s="51" customFormat="1" ht="22.5" customHeight="1" x14ac:dyDescent="0.3">
      <c r="A364" s="825">
        <v>13</v>
      </c>
      <c r="B364" s="880" t="str">
        <f>ЦКС!B17</f>
        <v>Режиссер- постановщик театра</v>
      </c>
      <c r="C364" s="881"/>
      <c r="D364" s="881"/>
      <c r="E364" s="882"/>
      <c r="F364" s="826" t="s">
        <v>162</v>
      </c>
      <c r="G364" s="883">
        <f>ЦКС!E55</f>
        <v>65.599999999999994</v>
      </c>
      <c r="H364" s="883"/>
      <c r="I364" s="726">
        <f t="shared" si="24"/>
        <v>238.17073170731709</v>
      </c>
      <c r="J364" s="728">
        <f>ЦКС!F55</f>
        <v>15624</v>
      </c>
      <c r="K364" s="719"/>
    </row>
    <row r="365" spans="1:11" s="51" customFormat="1" ht="23.25" customHeight="1" x14ac:dyDescent="0.3">
      <c r="A365" s="825">
        <v>14</v>
      </c>
      <c r="B365" s="880" t="str">
        <f>ЦКС!B18</f>
        <v>Режиссер массовых представлений</v>
      </c>
      <c r="C365" s="881"/>
      <c r="D365" s="881"/>
      <c r="E365" s="882"/>
      <c r="F365" s="826" t="s">
        <v>162</v>
      </c>
      <c r="G365" s="883">
        <f>ЦКС!E56</f>
        <v>196.79999999999998</v>
      </c>
      <c r="H365" s="883"/>
      <c r="I365" s="726">
        <f t="shared" si="24"/>
        <v>238.17073170731709</v>
      </c>
      <c r="J365" s="728">
        <f>ЦКС!F56</f>
        <v>46872</v>
      </c>
      <c r="K365" s="719"/>
    </row>
    <row r="366" spans="1:11" s="51" customFormat="1" ht="33" customHeight="1" x14ac:dyDescent="0.3">
      <c r="A366" s="884" t="s">
        <v>63</v>
      </c>
      <c r="B366" s="884"/>
      <c r="C366" s="884"/>
      <c r="D366" s="884"/>
      <c r="E366" s="884"/>
      <c r="F366" s="884"/>
      <c r="G366" s="884"/>
      <c r="H366" s="884"/>
      <c r="I366" s="884"/>
      <c r="J366" s="728">
        <f>J352+J353+J354+J355+J356+J357+J358+J359+J360+J361+J362+J363+J364+J365</f>
        <v>326124.96000000002</v>
      </c>
      <c r="K366" s="719"/>
    </row>
    <row r="367" spans="1:11" s="51" customFormat="1" ht="68.25" customHeight="1" x14ac:dyDescent="0.3">
      <c r="A367" s="1102" t="s">
        <v>15</v>
      </c>
      <c r="B367" s="1103"/>
      <c r="C367" s="1103"/>
      <c r="D367" s="1103"/>
      <c r="E367" s="1103"/>
      <c r="F367" s="1103"/>
      <c r="G367" s="1103"/>
      <c r="H367" s="1103"/>
      <c r="I367" s="1103"/>
      <c r="J367" s="1104"/>
      <c r="K367" s="719"/>
    </row>
    <row r="368" spans="1:11" s="51" customFormat="1" x14ac:dyDescent="0.3">
      <c r="A368" s="825">
        <v>1</v>
      </c>
      <c r="B368" s="885" t="str">
        <f>'ЦКС 2'!A33</f>
        <v>бумага офисная</v>
      </c>
      <c r="C368" s="885"/>
      <c r="D368" s="885"/>
      <c r="E368" s="885"/>
      <c r="F368" s="825" t="str">
        <f>'ЦКС 2'!L33</f>
        <v>уп.</v>
      </c>
      <c r="G368" s="908">
        <f>'ЦКС 2'!M33</f>
        <v>1.5</v>
      </c>
      <c r="H368" s="908"/>
      <c r="I368" s="726">
        <f>J368/G368</f>
        <v>500</v>
      </c>
      <c r="J368" s="728">
        <f>'ЦКС 2'!C33</f>
        <v>750</v>
      </c>
      <c r="K368" s="719"/>
    </row>
    <row r="369" spans="1:11" s="51" customFormat="1" ht="24" customHeight="1" x14ac:dyDescent="0.3">
      <c r="A369" s="825">
        <v>2</v>
      </c>
      <c r="B369" s="885" t="str">
        <f>'ЦКС 2'!A34</f>
        <v>Вкладыш в папку-скоросшиватель</v>
      </c>
      <c r="C369" s="885"/>
      <c r="D369" s="885"/>
      <c r="E369" s="885"/>
      <c r="F369" s="825" t="str">
        <f>'ЦКС 2'!L34</f>
        <v>шт.</v>
      </c>
      <c r="G369" s="908">
        <f>'ЦКС 2'!M34</f>
        <v>30</v>
      </c>
      <c r="H369" s="908"/>
      <c r="I369" s="726">
        <f t="shared" ref="I369:I375" si="25">J369/G369</f>
        <v>1</v>
      </c>
      <c r="J369" s="728">
        <f>'ЦКС 2'!C34</f>
        <v>30</v>
      </c>
      <c r="K369" s="719"/>
    </row>
    <row r="370" spans="1:11" s="51" customFormat="1" x14ac:dyDescent="0.3">
      <c r="A370" s="825">
        <v>3</v>
      </c>
      <c r="B370" s="885" t="str">
        <f>'ЦКС 2'!A35</f>
        <v>папка-скоросшиватель</v>
      </c>
      <c r="C370" s="885"/>
      <c r="D370" s="885"/>
      <c r="E370" s="885"/>
      <c r="F370" s="825" t="str">
        <f>'ЦКС 2'!L35</f>
        <v>шт.</v>
      </c>
      <c r="G370" s="908">
        <f>'ЦКС 2'!M35</f>
        <v>1.5</v>
      </c>
      <c r="H370" s="908"/>
      <c r="I370" s="726">
        <f t="shared" si="25"/>
        <v>20</v>
      </c>
      <c r="J370" s="728">
        <f>'ЦКС 2'!C35</f>
        <v>30</v>
      </c>
      <c r="K370" s="719"/>
    </row>
    <row r="371" spans="1:11" s="51" customFormat="1" x14ac:dyDescent="0.3">
      <c r="A371" s="825">
        <v>4</v>
      </c>
      <c r="B371" s="885" t="str">
        <f>'ЦКС 2'!A36</f>
        <v>ручка офисная</v>
      </c>
      <c r="C371" s="885"/>
      <c r="D371" s="885"/>
      <c r="E371" s="885"/>
      <c r="F371" s="825" t="str">
        <f>'ЦКС 2'!L36</f>
        <v>шт.</v>
      </c>
      <c r="G371" s="908">
        <f>'ЦКС 2'!M36</f>
        <v>1</v>
      </c>
      <c r="H371" s="908"/>
      <c r="I371" s="726">
        <f t="shared" si="25"/>
        <v>17</v>
      </c>
      <c r="J371" s="728">
        <f>'ЦКС 2'!C36</f>
        <v>17</v>
      </c>
      <c r="K371" s="719"/>
    </row>
    <row r="372" spans="1:11" s="51" customFormat="1" x14ac:dyDescent="0.3">
      <c r="A372" s="825">
        <v>5</v>
      </c>
      <c r="B372" s="885" t="str">
        <f>'ЦКС 2'!A37</f>
        <v>карандаш</v>
      </c>
      <c r="C372" s="885"/>
      <c r="D372" s="885"/>
      <c r="E372" s="885"/>
      <c r="F372" s="825" t="str">
        <f>'ЦКС 2'!L37</f>
        <v>шт.</v>
      </c>
      <c r="G372" s="908">
        <f>'ЦКС 2'!M37</f>
        <v>1.7</v>
      </c>
      <c r="H372" s="908"/>
      <c r="I372" s="726">
        <f t="shared" si="25"/>
        <v>10</v>
      </c>
      <c r="J372" s="728">
        <f>'ЦКС 2'!C37</f>
        <v>17</v>
      </c>
      <c r="K372" s="719"/>
    </row>
    <row r="373" spans="1:11" s="51" customFormat="1" x14ac:dyDescent="0.3">
      <c r="A373" s="825">
        <v>6</v>
      </c>
      <c r="B373" s="885" t="str">
        <f>'ЦКС 2'!A38</f>
        <v>клей</v>
      </c>
      <c r="C373" s="885"/>
      <c r="D373" s="885"/>
      <c r="E373" s="885"/>
      <c r="F373" s="825" t="str">
        <f>'ЦКС 2'!L38</f>
        <v>шт.</v>
      </c>
      <c r="G373" s="908">
        <f>'ЦКС 2'!M38</f>
        <v>0.5</v>
      </c>
      <c r="H373" s="908"/>
      <c r="I373" s="726">
        <f t="shared" si="25"/>
        <v>40</v>
      </c>
      <c r="J373" s="728">
        <f>'ЦКС 2'!C38</f>
        <v>20</v>
      </c>
      <c r="K373" s="719"/>
    </row>
    <row r="374" spans="1:11" s="51" customFormat="1" ht="24.75" customHeight="1" x14ac:dyDescent="0.3">
      <c r="A374" s="825">
        <v>7</v>
      </c>
      <c r="B374" s="885" t="str">
        <f>'ЦКС 2'!A39</f>
        <v>бумажные стикеры для заметок</v>
      </c>
      <c r="C374" s="885"/>
      <c r="D374" s="885"/>
      <c r="E374" s="885"/>
      <c r="F374" s="825" t="str">
        <f>'ЦКС 2'!L39</f>
        <v>шт.</v>
      </c>
      <c r="G374" s="908">
        <f>'ЦКС 2'!M39</f>
        <v>0.5</v>
      </c>
      <c r="H374" s="908"/>
      <c r="I374" s="726">
        <f t="shared" si="25"/>
        <v>50</v>
      </c>
      <c r="J374" s="728">
        <f>'ЦКС 2'!C39</f>
        <v>25</v>
      </c>
      <c r="K374" s="719"/>
    </row>
    <row r="375" spans="1:11" s="51" customFormat="1" ht="36.75" customHeight="1" x14ac:dyDescent="0.3">
      <c r="A375" s="825">
        <v>8</v>
      </c>
      <c r="B375" s="885" t="str">
        <f>'ЦКС 2'!A40</f>
        <v>расходы на полиграфическую продукцию</v>
      </c>
      <c r="C375" s="885"/>
      <c r="D375" s="885"/>
      <c r="E375" s="885"/>
      <c r="F375" s="825" t="str">
        <f>'ЦКС 2'!L40</f>
        <v>шт.</v>
      </c>
      <c r="G375" s="908">
        <f>'ЦКС 2'!M40</f>
        <v>0.5</v>
      </c>
      <c r="H375" s="908"/>
      <c r="I375" s="726">
        <f t="shared" si="25"/>
        <v>5100</v>
      </c>
      <c r="J375" s="728">
        <f>'ЦКС 2'!C40</f>
        <v>2550</v>
      </c>
      <c r="K375" s="719"/>
    </row>
    <row r="376" spans="1:11" s="51" customFormat="1" ht="23.25" customHeight="1" x14ac:dyDescent="0.3">
      <c r="A376" s="828"/>
      <c r="B376" s="1099" t="s">
        <v>63</v>
      </c>
      <c r="C376" s="1100"/>
      <c r="D376" s="1100"/>
      <c r="E376" s="1100"/>
      <c r="F376" s="1100"/>
      <c r="G376" s="1100"/>
      <c r="H376" s="1101"/>
      <c r="I376" s="726"/>
      <c r="J376" s="728">
        <f>J368+J369+J370+J371+J372+J373+J374+J375</f>
        <v>3439</v>
      </c>
      <c r="K376" s="719"/>
    </row>
    <row r="377" spans="1:11" s="51" customFormat="1" ht="68.25" customHeight="1" x14ac:dyDescent="0.3">
      <c r="A377" s="1102" t="s">
        <v>16</v>
      </c>
      <c r="B377" s="1103"/>
      <c r="C377" s="1103"/>
      <c r="D377" s="1103"/>
      <c r="E377" s="1103"/>
      <c r="F377" s="1103"/>
      <c r="G377" s="1103"/>
      <c r="H377" s="1103"/>
      <c r="I377" s="1103"/>
      <c r="J377" s="1104"/>
      <c r="K377" s="719"/>
    </row>
    <row r="378" spans="1:11" s="51" customFormat="1" x14ac:dyDescent="0.3">
      <c r="A378" s="825"/>
      <c r="B378" s="884"/>
      <c r="C378" s="884"/>
      <c r="D378" s="884"/>
      <c r="E378" s="884"/>
      <c r="F378" s="825"/>
      <c r="G378" s="884"/>
      <c r="H378" s="884"/>
      <c r="I378" s="726"/>
      <c r="J378" s="728"/>
      <c r="K378" s="719"/>
    </row>
    <row r="379" spans="1:11" s="51" customFormat="1" x14ac:dyDescent="0.3">
      <c r="A379" s="825"/>
      <c r="B379" s="884"/>
      <c r="C379" s="884"/>
      <c r="D379" s="884"/>
      <c r="E379" s="884"/>
      <c r="F379" s="825"/>
      <c r="G379" s="884"/>
      <c r="H379" s="884"/>
      <c r="I379" s="726"/>
      <c r="J379" s="728"/>
      <c r="K379" s="719"/>
    </row>
    <row r="380" spans="1:11" s="51" customFormat="1" ht="18.75" customHeight="1" x14ac:dyDescent="0.3">
      <c r="A380" s="1096" t="s">
        <v>17</v>
      </c>
      <c r="B380" s="1097"/>
      <c r="C380" s="1097"/>
      <c r="D380" s="1097"/>
      <c r="E380" s="1097"/>
      <c r="F380" s="1097"/>
      <c r="G380" s="1097"/>
      <c r="H380" s="1097"/>
      <c r="I380" s="1097"/>
      <c r="J380" s="1098"/>
      <c r="K380" s="719"/>
    </row>
    <row r="381" spans="1:11" s="51" customFormat="1" ht="45" customHeight="1" x14ac:dyDescent="0.3">
      <c r="A381" s="1102" t="s">
        <v>19</v>
      </c>
      <c r="B381" s="1103"/>
      <c r="C381" s="1103"/>
      <c r="D381" s="1103"/>
      <c r="E381" s="1103"/>
      <c r="F381" s="1103"/>
      <c r="G381" s="1103"/>
      <c r="H381" s="1103"/>
      <c r="I381" s="1103"/>
      <c r="J381" s="1104"/>
      <c r="K381" s="719"/>
    </row>
    <row r="382" spans="1:11" s="51" customFormat="1" ht="44.25" customHeight="1" x14ac:dyDescent="0.3">
      <c r="A382" s="825">
        <v>1</v>
      </c>
      <c r="B382" s="885" t="str">
        <f>'ЦКС 3'!A27</f>
        <v>Административно-управленческий персонал</v>
      </c>
      <c r="C382" s="885"/>
      <c r="D382" s="885"/>
      <c r="E382" s="885"/>
      <c r="F382" s="826" t="s">
        <v>162</v>
      </c>
      <c r="G382" s="908">
        <f>'ЦКС 3'!T27</f>
        <v>32.799999999999997</v>
      </c>
      <c r="H382" s="908"/>
      <c r="I382" s="726">
        <f>J382/G382</f>
        <v>476.31097560975616</v>
      </c>
      <c r="J382" s="728">
        <f>'ЦКС 3'!V27</f>
        <v>15623</v>
      </c>
      <c r="K382" s="719"/>
    </row>
    <row r="383" spans="1:11" s="51" customFormat="1" ht="39" customHeight="1" x14ac:dyDescent="0.3">
      <c r="A383" s="825">
        <v>2</v>
      </c>
      <c r="B383" s="885" t="str">
        <f>'ЦКС 3'!A28</f>
        <v>Прочий обслуживающий персонал</v>
      </c>
      <c r="C383" s="885"/>
      <c r="D383" s="885"/>
      <c r="E383" s="885"/>
      <c r="F383" s="826" t="s">
        <v>162</v>
      </c>
      <c r="G383" s="908">
        <f>'ЦКС 3'!T28</f>
        <v>1016.8</v>
      </c>
      <c r="H383" s="908"/>
      <c r="I383" s="726">
        <f>J383/G383</f>
        <v>208.89722659323368</v>
      </c>
      <c r="J383" s="728">
        <f>'ЦКС 3'!V28</f>
        <v>212406.7</v>
      </c>
      <c r="K383" s="719"/>
    </row>
    <row r="384" spans="1:11" s="51" customFormat="1" x14ac:dyDescent="0.3">
      <c r="A384" s="825"/>
      <c r="B384" s="1099" t="s">
        <v>63</v>
      </c>
      <c r="C384" s="1100"/>
      <c r="D384" s="1100"/>
      <c r="E384" s="1100"/>
      <c r="F384" s="1100"/>
      <c r="G384" s="1100"/>
      <c r="H384" s="1100"/>
      <c r="I384" s="1101"/>
      <c r="J384" s="728">
        <f>J382+J383</f>
        <v>228029.7</v>
      </c>
      <c r="K384" s="719"/>
    </row>
    <row r="385" spans="1:11" s="51" customFormat="1" ht="18.75" customHeight="1" x14ac:dyDescent="0.3">
      <c r="A385" s="1102" t="s">
        <v>20</v>
      </c>
      <c r="B385" s="1103"/>
      <c r="C385" s="1103"/>
      <c r="D385" s="1103"/>
      <c r="E385" s="1103"/>
      <c r="F385" s="1103"/>
      <c r="G385" s="1103"/>
      <c r="H385" s="1103"/>
      <c r="I385" s="1103"/>
      <c r="J385" s="1104"/>
      <c r="K385" s="719"/>
    </row>
    <row r="386" spans="1:11" s="51" customFormat="1" ht="21" customHeight="1" x14ac:dyDescent="0.3">
      <c r="A386" s="825">
        <v>1</v>
      </c>
      <c r="B386" s="885" t="str">
        <f>'ЦКС 3'!A6</f>
        <v>оплата потребления газа</v>
      </c>
      <c r="C386" s="885"/>
      <c r="D386" s="885"/>
      <c r="E386" s="885"/>
      <c r="F386" s="825" t="str">
        <f>'ЦКС 3'!D6</f>
        <v>м. куб</v>
      </c>
      <c r="G386" s="908">
        <f>'ЦКС 3'!T6</f>
        <v>2.4699999999999998</v>
      </c>
      <c r="H386" s="908"/>
      <c r="I386" s="726">
        <f>J386/G386</f>
        <v>7152.4696356275308</v>
      </c>
      <c r="J386" s="728">
        <f>'ЦКС 3'!V6</f>
        <v>17666.599999999999</v>
      </c>
      <c r="K386" s="719"/>
    </row>
    <row r="387" spans="1:11" s="51" customFormat="1" ht="42" customHeight="1" x14ac:dyDescent="0.3">
      <c r="A387" s="825">
        <v>2</v>
      </c>
      <c r="B387" s="885" t="str">
        <f>'ЦКС 3'!A7</f>
        <v>оплата потребления электрической энергии</v>
      </c>
      <c r="C387" s="885"/>
      <c r="D387" s="885"/>
      <c r="E387" s="885"/>
      <c r="F387" s="825" t="str">
        <f>'ЦКС 3'!D7</f>
        <v>Квт/ч</v>
      </c>
      <c r="G387" s="908">
        <f>'ЦКС 3'!T7</f>
        <v>1381</v>
      </c>
      <c r="H387" s="908"/>
      <c r="I387" s="726">
        <f t="shared" ref="I387:I388" si="26">J387/G387</f>
        <v>7.7118030412744387</v>
      </c>
      <c r="J387" s="728">
        <f>'ЦКС 3'!V7</f>
        <v>10650</v>
      </c>
      <c r="K387" s="719"/>
    </row>
    <row r="388" spans="1:11" s="51" customFormat="1" ht="36.75" customHeight="1" x14ac:dyDescent="0.3">
      <c r="A388" s="825">
        <v>3</v>
      </c>
      <c r="B388" s="885" t="str">
        <f>'ЦКС 3'!A8</f>
        <v>оплата потребления водоснабжения</v>
      </c>
      <c r="C388" s="885"/>
      <c r="D388" s="885"/>
      <c r="E388" s="885"/>
      <c r="F388" s="825" t="str">
        <f>'ЦКС 3'!D8</f>
        <v>м. куб</v>
      </c>
      <c r="G388" s="908">
        <f>'ЦКС 3'!T8</f>
        <v>12.5</v>
      </c>
      <c r="H388" s="908"/>
      <c r="I388" s="726">
        <f t="shared" si="26"/>
        <v>106.64</v>
      </c>
      <c r="J388" s="728">
        <f>'ЦКС 3'!V8</f>
        <v>1333</v>
      </c>
      <c r="K388" s="719"/>
    </row>
    <row r="389" spans="1:11" s="51" customFormat="1" x14ac:dyDescent="0.3">
      <c r="A389" s="825"/>
      <c r="B389" s="1099" t="s">
        <v>63</v>
      </c>
      <c r="C389" s="1100"/>
      <c r="D389" s="1100"/>
      <c r="E389" s="1100"/>
      <c r="F389" s="1100"/>
      <c r="G389" s="1100"/>
      <c r="H389" s="1100"/>
      <c r="I389" s="1101"/>
      <c r="J389" s="728">
        <f>J386+J387+J388</f>
        <v>29649.599999999999</v>
      </c>
      <c r="K389" s="719"/>
    </row>
    <row r="390" spans="1:11" s="51" customFormat="1" ht="18.75" customHeight="1" x14ac:dyDescent="0.3">
      <c r="A390" s="1096" t="s">
        <v>21</v>
      </c>
      <c r="B390" s="1097"/>
      <c r="C390" s="1097"/>
      <c r="D390" s="1097"/>
      <c r="E390" s="1097"/>
      <c r="F390" s="1097"/>
      <c r="G390" s="1097"/>
      <c r="H390" s="1097"/>
      <c r="I390" s="1097"/>
      <c r="J390" s="1098"/>
      <c r="K390" s="719"/>
    </row>
    <row r="391" spans="1:11" s="51" customFormat="1" ht="139.5" customHeight="1" x14ac:dyDescent="0.3">
      <c r="A391" s="825">
        <v>1</v>
      </c>
      <c r="B391" s="885" t="str">
        <f>'ЦКС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391" s="885"/>
      <c r="D391" s="885"/>
      <c r="E391" s="885"/>
      <c r="F391" s="825" t="str">
        <f>'ЦКС 3'!D11</f>
        <v>договор</v>
      </c>
      <c r="G391" s="879">
        <f>'ЦКС 3'!T11</f>
        <v>0.1</v>
      </c>
      <c r="H391" s="879"/>
      <c r="I391" s="726">
        <f>J391/G391</f>
        <v>20000</v>
      </c>
      <c r="J391" s="728">
        <f>'ЦКС 3'!V11</f>
        <v>2000</v>
      </c>
      <c r="K391" s="719"/>
    </row>
    <row r="392" spans="1:11" s="51" customFormat="1" ht="62.25" customHeight="1" x14ac:dyDescent="0.3">
      <c r="A392" s="825">
        <v>2</v>
      </c>
      <c r="B392" s="885" t="str">
        <f>'ЦКС 3'!A12</f>
        <v>Реагирование на соообщения о срабатывании тревожной сигнализации</v>
      </c>
      <c r="C392" s="885"/>
      <c r="D392" s="885"/>
      <c r="E392" s="885"/>
      <c r="F392" s="825" t="str">
        <f>'ЦКС 3'!D12</f>
        <v>договор</v>
      </c>
      <c r="G392" s="879">
        <f>'ЦКС 3'!T12</f>
        <v>0.1</v>
      </c>
      <c r="H392" s="879"/>
      <c r="I392" s="726">
        <f t="shared" ref="I392:I396" si="27">J392/G392</f>
        <v>21665.999999999996</v>
      </c>
      <c r="J392" s="728">
        <f>'ЦКС 3'!V12</f>
        <v>2166.6</v>
      </c>
      <c r="K392" s="719"/>
    </row>
    <row r="393" spans="1:11" s="51" customFormat="1" ht="46.5" customHeight="1" x14ac:dyDescent="0.3">
      <c r="A393" s="825">
        <v>3</v>
      </c>
      <c r="B393" s="885" t="str">
        <f>'ЦКС 3'!A13</f>
        <v>Тех обслуживание сети газораспределения</v>
      </c>
      <c r="C393" s="885"/>
      <c r="D393" s="885"/>
      <c r="E393" s="885"/>
      <c r="F393" s="825" t="str">
        <f>'ЦКС 3'!D13</f>
        <v>договор</v>
      </c>
      <c r="G393" s="879">
        <f>'ЦКС 3'!T13</f>
        <v>0.1</v>
      </c>
      <c r="H393" s="879"/>
      <c r="I393" s="726">
        <f t="shared" si="27"/>
        <v>15000</v>
      </c>
      <c r="J393" s="728">
        <f>'ЦКС 3'!V13</f>
        <v>1500</v>
      </c>
      <c r="K393" s="719"/>
    </row>
    <row r="394" spans="1:11" s="51" customFormat="1" ht="48.75" hidden="1" customHeight="1" x14ac:dyDescent="0.3">
      <c r="A394" s="825">
        <v>4</v>
      </c>
      <c r="B394" s="885" t="str">
        <f>'ЦКС 3'!A15</f>
        <v>Вывоз твердых бытовых отходов, утилизация отходов</v>
      </c>
      <c r="C394" s="885"/>
      <c r="D394" s="885"/>
      <c r="E394" s="885"/>
      <c r="F394" s="825" t="str">
        <f>'ЦКС 3'!D15</f>
        <v>договор</v>
      </c>
      <c r="G394" s="879">
        <f>'ЦКС 3'!T14</f>
        <v>0</v>
      </c>
      <c r="H394" s="879"/>
      <c r="I394" s="726" t="e">
        <f t="shared" si="27"/>
        <v>#DIV/0!</v>
      </c>
      <c r="J394" s="728">
        <f>'ЦКС 3'!V14</f>
        <v>0</v>
      </c>
      <c r="K394" s="719"/>
    </row>
    <row r="395" spans="1:11" s="51" customFormat="1" ht="48.75" customHeight="1" x14ac:dyDescent="0.3">
      <c r="A395" s="825">
        <v>4</v>
      </c>
      <c r="B395" s="885" t="str">
        <f>'ЦКС 3'!A16</f>
        <v>Прочие расходы на содержание объектов недвижимого имущества</v>
      </c>
      <c r="C395" s="885"/>
      <c r="D395" s="885"/>
      <c r="E395" s="885"/>
      <c r="F395" s="825" t="str">
        <f>'ЦКС 3'!D15</f>
        <v>договор</v>
      </c>
      <c r="G395" s="879">
        <f>'ЦКС 3'!T15</f>
        <v>0.1</v>
      </c>
      <c r="H395" s="879"/>
      <c r="I395" s="726">
        <f t="shared" si="27"/>
        <v>7526</v>
      </c>
      <c r="J395" s="728">
        <f>'ЦКС 3'!V15</f>
        <v>752.6</v>
      </c>
      <c r="K395" s="719"/>
    </row>
    <row r="396" spans="1:11" s="51" customFormat="1" x14ac:dyDescent="0.3">
      <c r="A396" s="825">
        <v>5</v>
      </c>
      <c r="B396" s="885" t="str">
        <f>'ЦКС 3'!A16</f>
        <v>Прочие расходы на содержание объектов недвижимого имущества</v>
      </c>
      <c r="C396" s="885"/>
      <c r="D396" s="885"/>
      <c r="E396" s="885"/>
      <c r="F396" s="825" t="s">
        <v>293</v>
      </c>
      <c r="G396" s="879">
        <f>'ЦКС 3'!T16</f>
        <v>0.2</v>
      </c>
      <c r="H396" s="879"/>
      <c r="I396" s="726">
        <f t="shared" si="27"/>
        <v>50343.554999999993</v>
      </c>
      <c r="J396" s="728">
        <f>'ЦКС 3'!V16</f>
        <v>10068.710999999999</v>
      </c>
      <c r="K396" s="719"/>
    </row>
    <row r="397" spans="1:11" s="51" customFormat="1" x14ac:dyDescent="0.3">
      <c r="A397" s="825"/>
      <c r="B397" s="1099" t="s">
        <v>63</v>
      </c>
      <c r="C397" s="1100"/>
      <c r="D397" s="1100"/>
      <c r="E397" s="1100"/>
      <c r="F397" s="1100"/>
      <c r="G397" s="1100"/>
      <c r="H397" s="1100"/>
      <c r="I397" s="1101"/>
      <c r="J397" s="728">
        <f>J391+J392+J393+J394+J395+J396</f>
        <v>16487.911</v>
      </c>
      <c r="K397" s="719"/>
    </row>
    <row r="398" spans="1:11" s="51" customFormat="1" ht="18.75" customHeight="1" x14ac:dyDescent="0.3">
      <c r="A398" s="1102" t="s">
        <v>22</v>
      </c>
      <c r="B398" s="1103"/>
      <c r="C398" s="1103"/>
      <c r="D398" s="1103"/>
      <c r="E398" s="1103"/>
      <c r="F398" s="1103"/>
      <c r="G398" s="1103"/>
      <c r="H398" s="1103"/>
      <c r="I398" s="1103"/>
      <c r="J398" s="1104"/>
      <c r="K398" s="719"/>
    </row>
    <row r="399" spans="1:11" s="51" customFormat="1" ht="20.25" customHeight="1" x14ac:dyDescent="0.3">
      <c r="A399" s="825">
        <v>1</v>
      </c>
      <c r="B399" s="885" t="str">
        <f>'ЦКС 3'!A23</f>
        <v>интернет</v>
      </c>
      <c r="C399" s="885"/>
      <c r="D399" s="885"/>
      <c r="E399" s="885"/>
      <c r="F399" s="825" t="str">
        <f>'ЦКС 3'!D23</f>
        <v>Гб</v>
      </c>
      <c r="G399" s="908">
        <f>'ЦКС 3'!T23</f>
        <v>33.4</v>
      </c>
      <c r="H399" s="908"/>
      <c r="I399" s="726">
        <f>J399/G399</f>
        <v>49.898203592814369</v>
      </c>
      <c r="J399" s="728">
        <f>'ЦКС 3'!V23</f>
        <v>1666.6</v>
      </c>
      <c r="K399" s="719"/>
    </row>
    <row r="400" spans="1:11" s="51" customFormat="1" x14ac:dyDescent="0.3">
      <c r="A400" s="825">
        <v>2</v>
      </c>
      <c r="B400" s="885" t="str">
        <f>'ЦКС 3'!A24</f>
        <v>услуги связи</v>
      </c>
      <c r="C400" s="885"/>
      <c r="D400" s="885"/>
      <c r="E400" s="885"/>
      <c r="F400" s="825" t="str">
        <f>'ЦКС 3'!D24</f>
        <v>мин.</v>
      </c>
      <c r="G400" s="908">
        <f>'ЦКС 3'!T24</f>
        <v>66</v>
      </c>
      <c r="H400" s="908"/>
      <c r="I400" s="726">
        <f>J400/G400</f>
        <v>10.1</v>
      </c>
      <c r="J400" s="728">
        <f>'ЦКС 3'!V24</f>
        <v>666.6</v>
      </c>
      <c r="K400" s="719"/>
    </row>
    <row r="401" spans="1:12" s="51" customFormat="1" x14ac:dyDescent="0.3">
      <c r="A401" s="825"/>
      <c r="B401" s="1099" t="s">
        <v>63</v>
      </c>
      <c r="C401" s="1100"/>
      <c r="D401" s="1100"/>
      <c r="E401" s="1100"/>
      <c r="F401" s="1100"/>
      <c r="G401" s="1100"/>
      <c r="H401" s="1100"/>
      <c r="I401" s="1101"/>
      <c r="J401" s="728">
        <f>J399+J400</f>
        <v>2333.1999999999998</v>
      </c>
      <c r="K401" s="719"/>
    </row>
    <row r="402" spans="1:12" s="51" customFormat="1" ht="18.75" customHeight="1" x14ac:dyDescent="0.3">
      <c r="A402" s="1102" t="s">
        <v>23</v>
      </c>
      <c r="B402" s="1103"/>
      <c r="C402" s="1103"/>
      <c r="D402" s="1103"/>
      <c r="E402" s="1103"/>
      <c r="F402" s="1103"/>
      <c r="G402" s="1103"/>
      <c r="H402" s="1103"/>
      <c r="I402" s="1103"/>
      <c r="J402" s="1104"/>
      <c r="K402" s="719"/>
    </row>
    <row r="403" spans="1:12" s="51" customFormat="1" x14ac:dyDescent="0.3">
      <c r="A403" s="825">
        <v>1</v>
      </c>
      <c r="B403" s="885" t="str">
        <f>'ЦКС 3'!A19</f>
        <v>ГСМ</v>
      </c>
      <c r="C403" s="885"/>
      <c r="D403" s="885"/>
      <c r="E403" s="885"/>
      <c r="F403" s="825" t="str">
        <f>'ЦКС 3'!D19</f>
        <v>л.</v>
      </c>
      <c r="G403" s="883">
        <f>'ЦКС 3'!T19</f>
        <v>134</v>
      </c>
      <c r="H403" s="883"/>
      <c r="I403" s="726">
        <f>J403/G403</f>
        <v>49.750746268656719</v>
      </c>
      <c r="J403" s="728">
        <f>'ЦКС 3'!V19</f>
        <v>6666.6</v>
      </c>
      <c r="K403" s="719"/>
    </row>
    <row r="404" spans="1:12" s="51" customFormat="1" ht="44.25" customHeight="1" x14ac:dyDescent="0.3">
      <c r="A404" s="825">
        <v>2</v>
      </c>
      <c r="B404" s="885" t="str">
        <f>'ЦКС 3'!A20</f>
        <v>Техническое обслуживание и ремонтов автотранспорта</v>
      </c>
      <c r="C404" s="885"/>
      <c r="D404" s="885"/>
      <c r="E404" s="885"/>
      <c r="F404" s="825" t="str">
        <f>'ЦКС 3'!D20</f>
        <v>договор</v>
      </c>
      <c r="G404" s="883">
        <f>'ЦКС 3'!T20</f>
        <v>0.1</v>
      </c>
      <c r="H404" s="883"/>
      <c r="I404" s="726">
        <f t="shared" ref="I404:I411" si="28">J404/G404</f>
        <v>208392.99999999997</v>
      </c>
      <c r="J404" s="728">
        <f>'ЦКС 3'!V20</f>
        <v>20839.3</v>
      </c>
      <c r="K404" s="719"/>
    </row>
    <row r="405" spans="1:12" s="51" customFormat="1" ht="39" customHeight="1" x14ac:dyDescent="0.3">
      <c r="A405" s="825">
        <v>3</v>
      </c>
      <c r="B405" s="885" t="str">
        <f>'ЦКС 3'!A31</f>
        <v>Медицинский осмотр</v>
      </c>
      <c r="C405" s="885"/>
      <c r="D405" s="885"/>
      <c r="E405" s="885"/>
      <c r="F405" s="825" t="str">
        <f>'ЦКС 3'!D31</f>
        <v>договор</v>
      </c>
      <c r="G405" s="883">
        <f>'ЦКС 3'!T31</f>
        <v>0.1</v>
      </c>
      <c r="H405" s="883"/>
      <c r="I405" s="726">
        <f t="shared" si="28"/>
        <v>10000</v>
      </c>
      <c r="J405" s="728">
        <f>'ЦКС 3'!V31</f>
        <v>1000</v>
      </c>
      <c r="K405" s="719"/>
    </row>
    <row r="406" spans="1:12" s="51" customFormat="1" ht="76.5" customHeight="1" x14ac:dyDescent="0.3">
      <c r="A406" s="825">
        <v>4</v>
      </c>
      <c r="B406" s="885" t="str">
        <f>'ЦКС 3'!A32</f>
        <v>Производственный контроль, аккарицидная обработка, дератизация, дезинфекция и пр. санитарно-гигиенические меропориятия</v>
      </c>
      <c r="C406" s="885"/>
      <c r="D406" s="885"/>
      <c r="E406" s="885"/>
      <c r="F406" s="825" t="str">
        <f>'ЦКС 3'!D32</f>
        <v>договор</v>
      </c>
      <c r="G406" s="883">
        <f>'ЦКС 3'!T32</f>
        <v>0.1</v>
      </c>
      <c r="H406" s="883"/>
      <c r="I406" s="726">
        <f t="shared" si="28"/>
        <v>10000</v>
      </c>
      <c r="J406" s="728">
        <f>'ЦКС 3'!V32</f>
        <v>1000</v>
      </c>
      <c r="K406" s="719"/>
    </row>
    <row r="407" spans="1:12" s="51" customFormat="1" ht="65.25" customHeight="1" x14ac:dyDescent="0.3">
      <c r="A407" s="825">
        <v>5</v>
      </c>
      <c r="B407" s="890" t="str">
        <f>'ЦКС 3'!A33</f>
        <v>Обучение персонала (электро, тепло, газовое хозяйство, пожарная безопасность, охрана труда и др.)</v>
      </c>
      <c r="C407" s="891"/>
      <c r="D407" s="891"/>
      <c r="E407" s="892"/>
      <c r="F407" s="825" t="str">
        <f>'ЦКС 3'!D33</f>
        <v>договор</v>
      </c>
      <c r="G407" s="883">
        <f>'ЦКС 3'!T33</f>
        <v>0.1</v>
      </c>
      <c r="H407" s="883"/>
      <c r="I407" s="726">
        <f t="shared" si="28"/>
        <v>8331.89</v>
      </c>
      <c r="J407" s="728">
        <f>'ЦКС 3'!V33</f>
        <v>833.18899999999996</v>
      </c>
      <c r="K407" s="719"/>
    </row>
    <row r="408" spans="1:12" s="51" customFormat="1" ht="45.75" customHeight="1" x14ac:dyDescent="0.3">
      <c r="A408" s="825">
        <v>6</v>
      </c>
      <c r="B408" s="885" t="str">
        <f>'ЦКС 3'!A34</f>
        <v>Обслуживание программных комплексов</v>
      </c>
      <c r="C408" s="885"/>
      <c r="D408" s="885"/>
      <c r="E408" s="885"/>
      <c r="F408" s="825" t="str">
        <f>'ЦКС 3'!D34</f>
        <v>договор</v>
      </c>
      <c r="G408" s="883">
        <f>'ЦКС 3'!T34</f>
        <v>0.1</v>
      </c>
      <c r="H408" s="883"/>
      <c r="I408" s="726">
        <f t="shared" si="28"/>
        <v>8332</v>
      </c>
      <c r="J408" s="728">
        <f>'ЦКС 3'!V34</f>
        <v>833.2</v>
      </c>
      <c r="K408" s="719"/>
    </row>
    <row r="409" spans="1:12" s="51" customFormat="1" ht="57" hidden="1" customHeight="1" x14ac:dyDescent="0.3">
      <c r="A409" s="825">
        <v>7</v>
      </c>
      <c r="B409" s="885" t="str">
        <f>'ЦКС 3'!A35</f>
        <v>Специальная оценка условий труда</v>
      </c>
      <c r="C409" s="885"/>
      <c r="D409" s="885"/>
      <c r="E409" s="885"/>
      <c r="F409" s="825" t="str">
        <f>'ЦКС 3'!D35</f>
        <v>чел.</v>
      </c>
      <c r="G409" s="883">
        <f>'ЦКС 3'!T35</f>
        <v>0</v>
      </c>
      <c r="H409" s="883"/>
      <c r="I409" s="726" t="e">
        <f t="shared" si="28"/>
        <v>#DIV/0!</v>
      </c>
      <c r="J409" s="728">
        <f>'ЦКС 3'!V35</f>
        <v>0</v>
      </c>
      <c r="K409" s="719"/>
    </row>
    <row r="410" spans="1:12" s="51" customFormat="1" ht="47.25" hidden="1" customHeight="1" x14ac:dyDescent="0.3">
      <c r="A410" s="734">
        <v>8</v>
      </c>
      <c r="B410" s="885" t="str">
        <f>'ЦКС 3'!A36</f>
        <v>Страховое особо опасных объектов</v>
      </c>
      <c r="C410" s="885"/>
      <c r="D410" s="885"/>
      <c r="E410" s="885"/>
      <c r="F410" s="825" t="str">
        <f>'ЦКС 3'!D36</f>
        <v>договор</v>
      </c>
      <c r="G410" s="883">
        <f>'ЦКС 3'!T36</f>
        <v>0.1</v>
      </c>
      <c r="H410" s="883"/>
      <c r="I410" s="726">
        <f t="shared" si="28"/>
        <v>0</v>
      </c>
      <c r="J410" s="728">
        <f>'ЦКС 3'!V36</f>
        <v>0</v>
      </c>
      <c r="K410" s="719"/>
    </row>
    <row r="411" spans="1:12" s="51" customFormat="1" ht="43.5" customHeight="1" x14ac:dyDescent="0.3">
      <c r="A411" s="735">
        <v>7</v>
      </c>
      <c r="B411" s="885" t="str">
        <f>'ЦКС 3'!A37</f>
        <v>Проверка и ремонт измерительных приборов</v>
      </c>
      <c r="C411" s="885"/>
      <c r="D411" s="885"/>
      <c r="E411" s="885"/>
      <c r="F411" s="825" t="str">
        <f>'ЦКС 3'!D37</f>
        <v>договор</v>
      </c>
      <c r="G411" s="883">
        <f>'ЦКС 3'!T37</f>
        <v>0.1</v>
      </c>
      <c r="H411" s="883"/>
      <c r="I411" s="726">
        <f t="shared" si="28"/>
        <v>20000</v>
      </c>
      <c r="J411" s="728">
        <f>'ЦКС 3'!V37</f>
        <v>2000</v>
      </c>
      <c r="K411" s="719"/>
    </row>
    <row r="412" spans="1:12" s="51" customFormat="1" x14ac:dyDescent="0.3">
      <c r="A412" s="734"/>
      <c r="B412" s="1099" t="s">
        <v>63</v>
      </c>
      <c r="C412" s="1100"/>
      <c r="D412" s="1100"/>
      <c r="E412" s="1100"/>
      <c r="F412" s="1100"/>
      <c r="G412" s="1100"/>
      <c r="H412" s="1100"/>
      <c r="I412" s="1101"/>
      <c r="J412" s="728">
        <f>J411+J408+J407+J406+J405+J404+J403</f>
        <v>33172.288999999997</v>
      </c>
      <c r="K412" s="719"/>
    </row>
    <row r="413" spans="1:12" s="51" customFormat="1" x14ac:dyDescent="0.3">
      <c r="A413" s="734"/>
      <c r="B413" s="888" t="s">
        <v>69</v>
      </c>
      <c r="C413" s="1107"/>
      <c r="D413" s="1107"/>
      <c r="E413" s="1107"/>
      <c r="F413" s="1107"/>
      <c r="G413" s="1107"/>
      <c r="H413" s="1107"/>
      <c r="I413" s="889"/>
      <c r="J413" s="736">
        <f>J366+J376+J389+J397+J401+J412+J384</f>
        <v>639236.66</v>
      </c>
      <c r="K413" s="725">
        <f>J413*10</f>
        <v>6392366.6000000006</v>
      </c>
      <c r="L413" s="69"/>
    </row>
    <row r="414" spans="1:12" s="51" customFormat="1" x14ac:dyDescent="0.3">
      <c r="A414" s="719"/>
      <c r="B414" s="719"/>
      <c r="C414" s="719"/>
      <c r="D414" s="719"/>
      <c r="E414" s="719"/>
      <c r="F414" s="719"/>
      <c r="G414" s="719"/>
      <c r="H414" s="719"/>
      <c r="I414" s="725"/>
      <c r="J414" s="725"/>
      <c r="K414" s="725"/>
      <c r="L414" s="69"/>
    </row>
    <row r="415" spans="1:12" s="51" customFormat="1" x14ac:dyDescent="0.3">
      <c r="A415" s="901" t="s">
        <v>4</v>
      </c>
      <c r="B415" s="901"/>
      <c r="C415" s="901"/>
      <c r="D415" s="901"/>
      <c r="E415" s="901"/>
      <c r="F415" s="901"/>
      <c r="G415" s="901"/>
      <c r="H415" s="901"/>
      <c r="I415" s="901"/>
      <c r="J415" s="901"/>
      <c r="K415" s="725"/>
      <c r="L415" s="69"/>
    </row>
    <row r="416" spans="1:12" s="51" customFormat="1" ht="19.5" customHeight="1" x14ac:dyDescent="0.3">
      <c r="A416" s="901" t="s">
        <v>5</v>
      </c>
      <c r="B416" s="901"/>
      <c r="C416" s="901"/>
      <c r="D416" s="901"/>
      <c r="E416" s="901"/>
      <c r="F416" s="901"/>
      <c r="G416" s="901"/>
      <c r="H416" s="901"/>
      <c r="I416" s="901"/>
      <c r="J416" s="901"/>
      <c r="K416" s="725"/>
      <c r="L416" s="725" t="s">
        <v>125</v>
      </c>
    </row>
    <row r="417" spans="1:12" s="51" customFormat="1" ht="19.5" customHeight="1" x14ac:dyDescent="0.3">
      <c r="A417" s="901" t="s">
        <v>6</v>
      </c>
      <c r="B417" s="901"/>
      <c r="C417" s="901"/>
      <c r="D417" s="901"/>
      <c r="E417" s="901"/>
      <c r="F417" s="901"/>
      <c r="G417" s="901"/>
      <c r="H417" s="901"/>
      <c r="I417" s="901"/>
      <c r="J417" s="901"/>
      <c r="K417" s="725"/>
      <c r="L417" s="69"/>
    </row>
    <row r="418" spans="1:12" s="51" customFormat="1" ht="44.25" customHeight="1" x14ac:dyDescent="0.3">
      <c r="A418" s="902" t="s">
        <v>160</v>
      </c>
      <c r="B418" s="902"/>
      <c r="C418" s="902"/>
      <c r="D418" s="902"/>
      <c r="E418" s="902"/>
      <c r="F418" s="902"/>
      <c r="G418" s="902"/>
      <c r="H418" s="902"/>
      <c r="I418" s="902"/>
      <c r="J418" s="902"/>
      <c r="K418" s="725"/>
      <c r="L418" s="69"/>
    </row>
    <row r="419" spans="1:12" s="51" customFormat="1" x14ac:dyDescent="0.3">
      <c r="A419" s="903" t="s">
        <v>161</v>
      </c>
      <c r="B419" s="903"/>
      <c r="C419" s="903"/>
      <c r="D419" s="903"/>
      <c r="E419" s="903"/>
      <c r="F419" s="903"/>
      <c r="G419" s="903"/>
      <c r="H419" s="903"/>
      <c r="I419" s="903"/>
      <c r="J419" s="903"/>
      <c r="K419" s="725"/>
      <c r="L419" s="69"/>
    </row>
    <row r="420" spans="1:12" s="51" customFormat="1" x14ac:dyDescent="0.3">
      <c r="A420" s="905" t="s">
        <v>123</v>
      </c>
      <c r="B420" s="905"/>
      <c r="C420" s="905"/>
      <c r="D420" s="905"/>
      <c r="E420" s="905"/>
      <c r="F420" s="905"/>
      <c r="G420" s="905"/>
      <c r="H420" s="905"/>
      <c r="I420" s="905"/>
      <c r="J420" s="725"/>
      <c r="K420" s="725"/>
      <c r="L420" s="69"/>
    </row>
    <row r="421" spans="1:12" s="51" customFormat="1" x14ac:dyDescent="0.3">
      <c r="A421" s="719"/>
      <c r="B421" s="719"/>
      <c r="C421" s="719"/>
      <c r="D421" s="719"/>
      <c r="E421" s="719"/>
      <c r="F421" s="719"/>
      <c r="G421" s="719"/>
      <c r="H421" s="719"/>
      <c r="I421" s="725"/>
      <c r="J421" s="725"/>
      <c r="K421" s="719"/>
    </row>
    <row r="422" spans="1:12" s="51" customFormat="1" ht="75" customHeight="1" x14ac:dyDescent="0.3">
      <c r="A422" s="826" t="s">
        <v>9</v>
      </c>
      <c r="B422" s="883" t="s">
        <v>10</v>
      </c>
      <c r="C422" s="883"/>
      <c r="D422" s="883"/>
      <c r="E422" s="883"/>
      <c r="F422" s="826" t="s">
        <v>11</v>
      </c>
      <c r="G422" s="883" t="s">
        <v>12</v>
      </c>
      <c r="H422" s="883"/>
      <c r="I422" s="726" t="s">
        <v>31</v>
      </c>
      <c r="J422" s="726" t="s">
        <v>32</v>
      </c>
      <c r="K422" s="719"/>
    </row>
    <row r="423" spans="1:12" s="51" customFormat="1" x14ac:dyDescent="0.3">
      <c r="A423" s="825">
        <v>1</v>
      </c>
      <c r="B423" s="884">
        <v>2</v>
      </c>
      <c r="C423" s="884"/>
      <c r="D423" s="884"/>
      <c r="E423" s="884"/>
      <c r="F423" s="825">
        <v>3</v>
      </c>
      <c r="G423" s="884">
        <v>3</v>
      </c>
      <c r="H423" s="1099"/>
      <c r="I423" s="726">
        <v>4</v>
      </c>
      <c r="J423" s="727">
        <v>5</v>
      </c>
      <c r="K423" s="719"/>
    </row>
    <row r="424" spans="1:12" s="51" customFormat="1" ht="18.75" customHeight="1" x14ac:dyDescent="0.3">
      <c r="A424" s="1096" t="s">
        <v>18</v>
      </c>
      <c r="B424" s="1097"/>
      <c r="C424" s="1097"/>
      <c r="D424" s="1097"/>
      <c r="E424" s="1097"/>
      <c r="F424" s="1097"/>
      <c r="G424" s="1097"/>
      <c r="H424" s="1097"/>
      <c r="I424" s="1097"/>
      <c r="J424" s="1098"/>
      <c r="K424" s="719"/>
    </row>
    <row r="425" spans="1:12" s="51" customFormat="1" ht="45" customHeight="1" x14ac:dyDescent="0.3">
      <c r="A425" s="1102" t="s">
        <v>14</v>
      </c>
      <c r="B425" s="1103"/>
      <c r="C425" s="1103"/>
      <c r="D425" s="1103"/>
      <c r="E425" s="1103"/>
      <c r="F425" s="1103"/>
      <c r="G425" s="1103"/>
      <c r="H425" s="1103"/>
      <c r="I425" s="1103"/>
      <c r="J425" s="1104"/>
      <c r="K425" s="719"/>
    </row>
    <row r="426" spans="1:12" s="51" customFormat="1" x14ac:dyDescent="0.3">
      <c r="A426" s="825">
        <v>1</v>
      </c>
      <c r="B426" s="880" t="str">
        <f>ЦКС!B24</f>
        <v>Директор</v>
      </c>
      <c r="C426" s="881"/>
      <c r="D426" s="881"/>
      <c r="E426" s="882"/>
      <c r="F426" s="826" t="s">
        <v>162</v>
      </c>
      <c r="G426" s="908">
        <f>ЦКС!E5</f>
        <v>7.8095238095238093</v>
      </c>
      <c r="H426" s="908"/>
      <c r="I426" s="726">
        <f>J426/G426</f>
        <v>476.34146341463418</v>
      </c>
      <c r="J426" s="736">
        <f>ЦКС!F5</f>
        <v>3720</v>
      </c>
      <c r="K426" s="719"/>
    </row>
    <row r="427" spans="1:12" s="51" customFormat="1" x14ac:dyDescent="0.3">
      <c r="A427" s="825">
        <v>2</v>
      </c>
      <c r="B427" s="880" t="str">
        <f>ЦКС!B25</f>
        <v>Художественный руководитель</v>
      </c>
      <c r="C427" s="881"/>
      <c r="D427" s="881"/>
      <c r="E427" s="882"/>
      <c r="F427" s="826" t="s">
        <v>162</v>
      </c>
      <c r="G427" s="908">
        <f>ЦКС!E6</f>
        <v>15.619047619047619</v>
      </c>
      <c r="H427" s="908"/>
      <c r="I427" s="726">
        <f t="shared" ref="I427:I439" si="29">J427/G427</f>
        <v>277.86585365853659</v>
      </c>
      <c r="J427" s="736">
        <f>ЦКС!F6</f>
        <v>4340</v>
      </c>
      <c r="K427" s="719"/>
    </row>
    <row r="428" spans="1:12" s="51" customFormat="1" x14ac:dyDescent="0.3">
      <c r="A428" s="825">
        <v>3</v>
      </c>
      <c r="B428" s="880" t="str">
        <f>ЦКС!B26</f>
        <v>Звукооператор</v>
      </c>
      <c r="C428" s="881"/>
      <c r="D428" s="881"/>
      <c r="E428" s="882"/>
      <c r="F428" s="826" t="s">
        <v>162</v>
      </c>
      <c r="G428" s="908">
        <f>ЦКС!E7</f>
        <v>15.62</v>
      </c>
      <c r="H428" s="908"/>
      <c r="I428" s="726">
        <f t="shared" si="29"/>
        <v>198.46350832266327</v>
      </c>
      <c r="J428" s="736">
        <f>ЦКС!F7</f>
        <v>3100</v>
      </c>
      <c r="K428" s="719"/>
    </row>
    <row r="429" spans="1:12" s="51" customFormat="1" x14ac:dyDescent="0.3">
      <c r="A429" s="825">
        <v>4</v>
      </c>
      <c r="B429" s="880" t="str">
        <f>ЦКС!B27</f>
        <v>Редактор клубного учреждения</v>
      </c>
      <c r="C429" s="881"/>
      <c r="D429" s="881"/>
      <c r="E429" s="882"/>
      <c r="F429" s="826" t="s">
        <v>162</v>
      </c>
      <c r="G429" s="908">
        <f>ЦКС!E8</f>
        <v>31.24</v>
      </c>
      <c r="H429" s="908"/>
      <c r="I429" s="726">
        <f t="shared" si="29"/>
        <v>277.84891165172854</v>
      </c>
      <c r="J429" s="736">
        <f>ЦКС!F8</f>
        <v>8680</v>
      </c>
      <c r="K429" s="719"/>
    </row>
    <row r="430" spans="1:12" s="51" customFormat="1" x14ac:dyDescent="0.3">
      <c r="A430" s="825">
        <v>5</v>
      </c>
      <c r="B430" s="880" t="str">
        <f>ЦКС!B28</f>
        <v>Художник - оформитель</v>
      </c>
      <c r="C430" s="881"/>
      <c r="D430" s="881"/>
      <c r="E430" s="882"/>
      <c r="F430" s="826" t="s">
        <v>162</v>
      </c>
      <c r="G430" s="908">
        <f>ЦКС!E9</f>
        <v>15.62</v>
      </c>
      <c r="H430" s="908"/>
      <c r="I430" s="726">
        <f t="shared" si="29"/>
        <v>238.15620998719592</v>
      </c>
      <c r="J430" s="736">
        <f>ЦКС!F9</f>
        <v>3720</v>
      </c>
      <c r="K430" s="719"/>
    </row>
    <row r="431" spans="1:12" s="51" customFormat="1" x14ac:dyDescent="0.3">
      <c r="A431" s="825">
        <v>6</v>
      </c>
      <c r="B431" s="880" t="str">
        <f>ЦКС!B29</f>
        <v>Художник по свету</v>
      </c>
      <c r="C431" s="881"/>
      <c r="D431" s="881"/>
      <c r="E431" s="882"/>
      <c r="F431" s="826" t="s">
        <v>162</v>
      </c>
      <c r="G431" s="908">
        <f>ЦКС!E10</f>
        <v>7.81</v>
      </c>
      <c r="H431" s="908"/>
      <c r="I431" s="726">
        <f t="shared" si="29"/>
        <v>158.7708066581306</v>
      </c>
      <c r="J431" s="736">
        <f>ЦКС!F10</f>
        <v>1240</v>
      </c>
      <c r="K431" s="719"/>
    </row>
    <row r="432" spans="1:12" s="51" customFormat="1" x14ac:dyDescent="0.3">
      <c r="A432" s="825">
        <v>7</v>
      </c>
      <c r="B432" s="880" t="str">
        <f>ЦКС!B30</f>
        <v>Руководитель кукольного кружка</v>
      </c>
      <c r="C432" s="881"/>
      <c r="D432" s="881"/>
      <c r="E432" s="882"/>
      <c r="F432" s="826" t="s">
        <v>162</v>
      </c>
      <c r="G432" s="908">
        <f>ЦКС!E11</f>
        <v>15.62</v>
      </c>
      <c r="H432" s="908"/>
      <c r="I432" s="726">
        <f t="shared" si="29"/>
        <v>277.84891165172854</v>
      </c>
      <c r="J432" s="736">
        <f>ЦКС!F11</f>
        <v>4340</v>
      </c>
      <c r="K432" s="719"/>
    </row>
    <row r="433" spans="1:11" s="51" customFormat="1" x14ac:dyDescent="0.3">
      <c r="A433" s="825">
        <v>8</v>
      </c>
      <c r="B433" s="880" t="str">
        <f>ЦКС!B31</f>
        <v>Руководитель кружка</v>
      </c>
      <c r="C433" s="881"/>
      <c r="D433" s="881"/>
      <c r="E433" s="882"/>
      <c r="F433" s="826" t="s">
        <v>162</v>
      </c>
      <c r="G433" s="908">
        <f>ЦКС!E12</f>
        <v>46.86</v>
      </c>
      <c r="H433" s="908"/>
      <c r="I433" s="726">
        <f t="shared" si="29"/>
        <v>206.40204865556979</v>
      </c>
      <c r="J433" s="736">
        <f>ЦКС!F12</f>
        <v>9672</v>
      </c>
      <c r="K433" s="719"/>
    </row>
    <row r="434" spans="1:11" s="51" customFormat="1" x14ac:dyDescent="0.3">
      <c r="A434" s="825">
        <v>9</v>
      </c>
      <c r="B434" s="880" t="str">
        <f>ЦКС!B32</f>
        <v>Зав. костюмерной</v>
      </c>
      <c r="C434" s="881"/>
      <c r="D434" s="881"/>
      <c r="E434" s="882"/>
      <c r="F434" s="826" t="s">
        <v>162</v>
      </c>
      <c r="G434" s="908">
        <f>ЦКС!E13</f>
        <v>15.62</v>
      </c>
      <c r="H434" s="908"/>
      <c r="I434" s="726">
        <f t="shared" si="29"/>
        <v>188.93725992317545</v>
      </c>
      <c r="J434" s="736">
        <f>ЦКС!F13</f>
        <v>2951.2000000000003</v>
      </c>
      <c r="K434" s="719"/>
    </row>
    <row r="435" spans="1:11" s="51" customFormat="1" x14ac:dyDescent="0.3">
      <c r="A435" s="825">
        <v>10</v>
      </c>
      <c r="B435" s="880" t="str">
        <f>ЦКС!B33</f>
        <v>культ организатор</v>
      </c>
      <c r="C435" s="881"/>
      <c r="D435" s="881"/>
      <c r="E435" s="882"/>
      <c r="F435" s="826" t="s">
        <v>162</v>
      </c>
      <c r="G435" s="908">
        <f>ЦКС!E14</f>
        <v>15.62</v>
      </c>
      <c r="H435" s="908"/>
      <c r="I435" s="726">
        <f t="shared" si="29"/>
        <v>277.84891165172854</v>
      </c>
      <c r="J435" s="736">
        <f>ЦКС!F14</f>
        <v>4340</v>
      </c>
      <c r="K435" s="719"/>
    </row>
    <row r="436" spans="1:11" s="51" customFormat="1" x14ac:dyDescent="0.3">
      <c r="A436" s="825">
        <v>11</v>
      </c>
      <c r="B436" s="880" t="str">
        <f>ЦКС!B34</f>
        <v>хормейстер</v>
      </c>
      <c r="C436" s="881"/>
      <c r="D436" s="881"/>
      <c r="E436" s="882"/>
      <c r="F436" s="826" t="s">
        <v>162</v>
      </c>
      <c r="G436" s="908">
        <f>ЦКС!E15</f>
        <v>54.669999999999995</v>
      </c>
      <c r="H436" s="908"/>
      <c r="I436" s="726">
        <f t="shared" si="29"/>
        <v>241.33162612035858</v>
      </c>
      <c r="J436" s="736">
        <f>ЦКС!F15</f>
        <v>13193.600000000002</v>
      </c>
      <c r="K436" s="719"/>
    </row>
    <row r="437" spans="1:11" s="51" customFormat="1" x14ac:dyDescent="0.3">
      <c r="A437" s="825">
        <v>12</v>
      </c>
      <c r="B437" s="880" t="str">
        <f>ЦКС!B35</f>
        <v>Балетмейстер-постановщик</v>
      </c>
      <c r="C437" s="881"/>
      <c r="D437" s="881"/>
      <c r="E437" s="882"/>
      <c r="F437" s="826" t="s">
        <v>162</v>
      </c>
      <c r="G437" s="908">
        <f>ЦКС!E16</f>
        <v>15.62</v>
      </c>
      <c r="H437" s="908"/>
      <c r="I437" s="726">
        <f t="shared" si="29"/>
        <v>222.27912932138284</v>
      </c>
      <c r="J437" s="736">
        <f>ЦКС!F16</f>
        <v>3472</v>
      </c>
      <c r="K437" s="719"/>
    </row>
    <row r="438" spans="1:11" s="51" customFormat="1" x14ac:dyDescent="0.3">
      <c r="A438" s="825">
        <v>13</v>
      </c>
      <c r="B438" s="880" t="str">
        <f>ЦКС!B36</f>
        <v>Режиссер- постановщик театра</v>
      </c>
      <c r="C438" s="881"/>
      <c r="D438" s="881"/>
      <c r="E438" s="882"/>
      <c r="F438" s="826" t="s">
        <v>162</v>
      </c>
      <c r="G438" s="908">
        <f>ЦКС!E17</f>
        <v>15.62</v>
      </c>
      <c r="H438" s="908"/>
      <c r="I438" s="726">
        <f t="shared" si="29"/>
        <v>238.15620998719592</v>
      </c>
      <c r="J438" s="736">
        <f>ЦКС!F17</f>
        <v>3720</v>
      </c>
      <c r="K438" s="719"/>
    </row>
    <row r="439" spans="1:11" s="51" customFormat="1" x14ac:dyDescent="0.3">
      <c r="A439" s="825">
        <v>14</v>
      </c>
      <c r="B439" s="880" t="str">
        <f>ЦКС!B37</f>
        <v>Режиссер массовых представлений</v>
      </c>
      <c r="C439" s="881"/>
      <c r="D439" s="881"/>
      <c r="E439" s="882"/>
      <c r="F439" s="826" t="s">
        <v>162</v>
      </c>
      <c r="G439" s="908">
        <f>ЦКС!E18</f>
        <v>46.86</v>
      </c>
      <c r="H439" s="908"/>
      <c r="I439" s="726">
        <f t="shared" si="29"/>
        <v>238.15620998719589</v>
      </c>
      <c r="J439" s="736">
        <f>ЦКС!F18</f>
        <v>11160</v>
      </c>
      <c r="K439" s="719"/>
    </row>
    <row r="440" spans="1:11" s="51" customFormat="1" x14ac:dyDescent="0.3">
      <c r="A440" s="825"/>
      <c r="B440" s="1106" t="s">
        <v>63</v>
      </c>
      <c r="C440" s="1106"/>
      <c r="D440" s="1106"/>
      <c r="E440" s="1106"/>
      <c r="F440" s="1106"/>
      <c r="G440" s="1106"/>
      <c r="H440" s="1106"/>
      <c r="I440" s="1106"/>
      <c r="J440" s="736">
        <f>J426+J427+J428+J429+J430+J431+J432+J433+J434+J435+J436+J437+J438+J439</f>
        <v>77648.800000000003</v>
      </c>
      <c r="K440" s="719"/>
    </row>
    <row r="441" spans="1:11" s="51" customFormat="1" ht="62.25" customHeight="1" x14ac:dyDescent="0.3">
      <c r="A441" s="1102" t="s">
        <v>15</v>
      </c>
      <c r="B441" s="1103"/>
      <c r="C441" s="1103"/>
      <c r="D441" s="1103"/>
      <c r="E441" s="1103"/>
      <c r="F441" s="1103"/>
      <c r="G441" s="1103"/>
      <c r="H441" s="1103"/>
      <c r="I441" s="1103"/>
      <c r="J441" s="1104"/>
      <c r="K441" s="719"/>
    </row>
    <row r="442" spans="1:11" s="51" customFormat="1" x14ac:dyDescent="0.3">
      <c r="A442" s="825">
        <v>1</v>
      </c>
      <c r="B442" s="885" t="str">
        <f>'ЦКС 2'!A19</f>
        <v>бумага офисная</v>
      </c>
      <c r="C442" s="885"/>
      <c r="D442" s="885"/>
      <c r="E442" s="885"/>
      <c r="F442" s="825" t="str">
        <f>'ЦКС 2'!L19</f>
        <v>уп.</v>
      </c>
      <c r="G442" s="909">
        <f>'ЦКС 2'!M5</f>
        <v>0.35714285714285715</v>
      </c>
      <c r="H442" s="909"/>
      <c r="I442" s="726">
        <f>J442/G442</f>
        <v>500</v>
      </c>
      <c r="J442" s="736">
        <f>'ЦКС 2'!C5</f>
        <v>178.57142857142858</v>
      </c>
      <c r="K442" s="719"/>
    </row>
    <row r="443" spans="1:11" s="51" customFormat="1" x14ac:dyDescent="0.3">
      <c r="A443" s="825">
        <v>2</v>
      </c>
      <c r="B443" s="885" t="str">
        <f>'ЦКС 2'!A20</f>
        <v>Вкладыш в папку-скоросшиватель</v>
      </c>
      <c r="C443" s="885"/>
      <c r="D443" s="885"/>
      <c r="E443" s="885"/>
      <c r="F443" s="825" t="str">
        <f>'ЦКС 2'!L20</f>
        <v>шт.</v>
      </c>
      <c r="G443" s="909">
        <f>'ЦКС 2'!M6</f>
        <v>7.1428571428571432</v>
      </c>
      <c r="H443" s="909"/>
      <c r="I443" s="726">
        <f t="shared" ref="I443:I449" si="30">J443/G443</f>
        <v>1</v>
      </c>
      <c r="J443" s="736">
        <f>'ЦКС 2'!C6</f>
        <v>7.1428571428571432</v>
      </c>
      <c r="K443" s="719"/>
    </row>
    <row r="444" spans="1:11" s="51" customFormat="1" x14ac:dyDescent="0.3">
      <c r="A444" s="825">
        <v>3</v>
      </c>
      <c r="B444" s="885" t="str">
        <f>'ЦКС 2'!A21</f>
        <v>папка-скоросшиватель</v>
      </c>
      <c r="C444" s="885"/>
      <c r="D444" s="885"/>
      <c r="E444" s="885"/>
      <c r="F444" s="825" t="str">
        <f>'ЦКС 2'!L21</f>
        <v>шт.</v>
      </c>
      <c r="G444" s="909">
        <f>'ЦКС 2'!M7</f>
        <v>0.35714285714285715</v>
      </c>
      <c r="H444" s="909"/>
      <c r="I444" s="726">
        <f t="shared" si="30"/>
        <v>20</v>
      </c>
      <c r="J444" s="736">
        <f>'ЦКС 2'!C7</f>
        <v>7.1428571428571432</v>
      </c>
      <c r="K444" s="719"/>
    </row>
    <row r="445" spans="1:11" s="51" customFormat="1" x14ac:dyDescent="0.3">
      <c r="A445" s="825">
        <v>4</v>
      </c>
      <c r="B445" s="885" t="str">
        <f>'ЦКС 2'!A22</f>
        <v>ручка офисная</v>
      </c>
      <c r="C445" s="885"/>
      <c r="D445" s="885"/>
      <c r="E445" s="885"/>
      <c r="F445" s="825" t="str">
        <f>'ЦКС 2'!L22</f>
        <v>шт.</v>
      </c>
      <c r="G445" s="909">
        <f>'ЦКС 2'!M8</f>
        <v>0.23809523809523808</v>
      </c>
      <c r="H445" s="909"/>
      <c r="I445" s="726">
        <f t="shared" si="30"/>
        <v>17</v>
      </c>
      <c r="J445" s="736">
        <f>'ЦКС 2'!C8</f>
        <v>4.0476190476190474</v>
      </c>
      <c r="K445" s="719"/>
    </row>
    <row r="446" spans="1:11" s="51" customFormat="1" x14ac:dyDescent="0.3">
      <c r="A446" s="825">
        <v>5</v>
      </c>
      <c r="B446" s="885" t="str">
        <f>'ЦКС 2'!A23</f>
        <v>карандаш</v>
      </c>
      <c r="C446" s="885"/>
      <c r="D446" s="885"/>
      <c r="E446" s="885"/>
      <c r="F446" s="825" t="str">
        <f>'ЦКС 2'!L23</f>
        <v>шт.</v>
      </c>
      <c r="G446" s="909">
        <f>'ЦКС 2'!M9</f>
        <v>0.40476190476190477</v>
      </c>
      <c r="H446" s="909"/>
      <c r="I446" s="726">
        <f t="shared" si="30"/>
        <v>10</v>
      </c>
      <c r="J446" s="736">
        <f>'ЦКС 2'!C9</f>
        <v>4.0476190476190474</v>
      </c>
      <c r="K446" s="719"/>
    </row>
    <row r="447" spans="1:11" s="51" customFormat="1" x14ac:dyDescent="0.3">
      <c r="A447" s="825">
        <v>6</v>
      </c>
      <c r="B447" s="885" t="str">
        <f>'ЦКС 2'!A24</f>
        <v>клей</v>
      </c>
      <c r="C447" s="885"/>
      <c r="D447" s="885"/>
      <c r="E447" s="885"/>
      <c r="F447" s="825" t="str">
        <f>'ЦКС 2'!L24</f>
        <v>шт.</v>
      </c>
      <c r="G447" s="909">
        <f>'ЦКС 2'!M10</f>
        <v>0.11904761904761904</v>
      </c>
      <c r="H447" s="909"/>
      <c r="I447" s="726">
        <f t="shared" si="30"/>
        <v>40</v>
      </c>
      <c r="J447" s="736">
        <f>'ЦКС 2'!C10</f>
        <v>4.7619047619047619</v>
      </c>
      <c r="K447" s="719"/>
    </row>
    <row r="448" spans="1:11" s="51" customFormat="1" x14ac:dyDescent="0.3">
      <c r="A448" s="825">
        <v>7</v>
      </c>
      <c r="B448" s="885" t="str">
        <f>'ЦКС 2'!A25</f>
        <v>бумажные стикеры для заметок</v>
      </c>
      <c r="C448" s="885"/>
      <c r="D448" s="885"/>
      <c r="E448" s="885"/>
      <c r="F448" s="825" t="str">
        <f>'ЦКС 2'!L25</f>
        <v>шт.</v>
      </c>
      <c r="G448" s="909">
        <f>'ЦКС 2'!M11</f>
        <v>0.11904761904761904</v>
      </c>
      <c r="H448" s="909"/>
      <c r="I448" s="726">
        <f t="shared" si="30"/>
        <v>50.000000000000007</v>
      </c>
      <c r="J448" s="736">
        <f>'ЦКС 2'!C11</f>
        <v>5.9523809523809526</v>
      </c>
      <c r="K448" s="719"/>
    </row>
    <row r="449" spans="1:11" s="51" customFormat="1" x14ac:dyDescent="0.3">
      <c r="A449" s="825">
        <v>8</v>
      </c>
      <c r="B449" s="885" t="str">
        <f>'ЦКС 2'!A26</f>
        <v>расходы на полиграфическую продукцию</v>
      </c>
      <c r="C449" s="885"/>
      <c r="D449" s="885"/>
      <c r="E449" s="885"/>
      <c r="F449" s="825" t="str">
        <f>'ЦКС 2'!L26</f>
        <v>шт.</v>
      </c>
      <c r="G449" s="909">
        <f>'ЦКС 2'!M12</f>
        <v>0.11904761904761904</v>
      </c>
      <c r="H449" s="909"/>
      <c r="I449" s="726">
        <f t="shared" si="30"/>
        <v>5100</v>
      </c>
      <c r="J449" s="736">
        <f>'ЦКС 2'!C12</f>
        <v>607.14285714285711</v>
      </c>
      <c r="K449" s="719"/>
    </row>
    <row r="450" spans="1:11" s="51" customFormat="1" x14ac:dyDescent="0.3">
      <c r="A450" s="825"/>
      <c r="B450" s="1099" t="s">
        <v>63</v>
      </c>
      <c r="C450" s="1100"/>
      <c r="D450" s="1100"/>
      <c r="E450" s="1100"/>
      <c r="F450" s="1100"/>
      <c r="G450" s="1100"/>
      <c r="H450" s="1100"/>
      <c r="I450" s="1101"/>
      <c r="J450" s="736">
        <f>J442+J443+J444+J445+J447+J446+J448+J449</f>
        <v>818.80952380952374</v>
      </c>
      <c r="K450" s="719"/>
    </row>
    <row r="451" spans="1:11" s="51" customFormat="1" ht="78.75" customHeight="1" x14ac:dyDescent="0.3">
      <c r="A451" s="1102" t="s">
        <v>16</v>
      </c>
      <c r="B451" s="1103"/>
      <c r="C451" s="1103"/>
      <c r="D451" s="1103"/>
      <c r="E451" s="1103"/>
      <c r="F451" s="1103"/>
      <c r="G451" s="1103"/>
      <c r="H451" s="1103"/>
      <c r="I451" s="1103"/>
      <c r="J451" s="1104"/>
      <c r="K451" s="719"/>
    </row>
    <row r="452" spans="1:11" s="51" customFormat="1" x14ac:dyDescent="0.3">
      <c r="A452" s="825"/>
      <c r="B452" s="884"/>
      <c r="C452" s="884"/>
      <c r="D452" s="884"/>
      <c r="E452" s="884"/>
      <c r="F452" s="825"/>
      <c r="G452" s="884"/>
      <c r="H452" s="884"/>
      <c r="I452" s="726"/>
      <c r="J452" s="736"/>
      <c r="K452" s="719"/>
    </row>
    <row r="453" spans="1:11" s="51" customFormat="1" x14ac:dyDescent="0.3">
      <c r="A453" s="825"/>
      <c r="B453" s="884"/>
      <c r="C453" s="884"/>
      <c r="D453" s="884"/>
      <c r="E453" s="884"/>
      <c r="F453" s="825"/>
      <c r="G453" s="884"/>
      <c r="H453" s="884"/>
      <c r="I453" s="726"/>
      <c r="J453" s="736"/>
      <c r="K453" s="719"/>
    </row>
    <row r="454" spans="1:11" s="51" customFormat="1" x14ac:dyDescent="0.3">
      <c r="A454" s="899" t="s">
        <v>17</v>
      </c>
      <c r="B454" s="883"/>
      <c r="C454" s="883"/>
      <c r="D454" s="883"/>
      <c r="E454" s="883"/>
      <c r="F454" s="883"/>
      <c r="G454" s="883"/>
      <c r="H454" s="883"/>
      <c r="I454" s="883"/>
      <c r="J454" s="736"/>
      <c r="K454" s="719"/>
    </row>
    <row r="455" spans="1:11" s="51" customFormat="1" ht="38.25" customHeight="1" x14ac:dyDescent="0.3">
      <c r="A455" s="1102" t="s">
        <v>19</v>
      </c>
      <c r="B455" s="1103"/>
      <c r="C455" s="1103"/>
      <c r="D455" s="1103"/>
      <c r="E455" s="1103"/>
      <c r="F455" s="1103"/>
      <c r="G455" s="1103"/>
      <c r="H455" s="1103"/>
      <c r="I455" s="1103"/>
      <c r="J455" s="1104"/>
      <c r="K455" s="719"/>
    </row>
    <row r="456" spans="1:11" s="51" customFormat="1" ht="34.5" customHeight="1" x14ac:dyDescent="0.3">
      <c r="A456" s="825">
        <v>1</v>
      </c>
      <c r="B456" s="885" t="str">
        <f>'ЦКС 3'!A27</f>
        <v>Административно-управленческий персонал</v>
      </c>
      <c r="C456" s="885"/>
      <c r="D456" s="885"/>
      <c r="E456" s="885"/>
      <c r="F456" s="826" t="s">
        <v>162</v>
      </c>
      <c r="G456" s="908">
        <f>'ЦКС 3'!C27</f>
        <v>7.8095238095238093</v>
      </c>
      <c r="H456" s="908"/>
      <c r="I456" s="726">
        <f>J456/G456</f>
        <v>476.34146341463418</v>
      </c>
      <c r="J456" s="736">
        <f>'ЦКС 3'!E27</f>
        <v>3720</v>
      </c>
      <c r="K456" s="719"/>
    </row>
    <row r="457" spans="1:11" s="51" customFormat="1" ht="24.75" customHeight="1" x14ac:dyDescent="0.3">
      <c r="A457" s="825">
        <v>2</v>
      </c>
      <c r="B457" s="885" t="str">
        <f>'ЦКС 3'!A28</f>
        <v>Прочий обслуживающий персонал</v>
      </c>
      <c r="C457" s="885"/>
      <c r="D457" s="885"/>
      <c r="E457" s="885"/>
      <c r="F457" s="826" t="s">
        <v>162</v>
      </c>
      <c r="G457" s="908">
        <f>'ЦКС 3'!C28</f>
        <v>242.0952380952381</v>
      </c>
      <c r="H457" s="908"/>
      <c r="I457" s="726">
        <f>J457/G457</f>
        <v>208.89697744558092</v>
      </c>
      <c r="J457" s="736">
        <f>'ЦКС 3'!E28</f>
        <v>50572.963492063493</v>
      </c>
      <c r="K457" s="719"/>
    </row>
    <row r="458" spans="1:11" s="51" customFormat="1" x14ac:dyDescent="0.3">
      <c r="A458" s="825"/>
      <c r="B458" s="1099" t="s">
        <v>63</v>
      </c>
      <c r="C458" s="1100"/>
      <c r="D458" s="1100"/>
      <c r="E458" s="1100"/>
      <c r="F458" s="1100"/>
      <c r="G458" s="1100"/>
      <c r="H458" s="1100"/>
      <c r="I458" s="1101"/>
      <c r="J458" s="736">
        <f>J456+J457</f>
        <v>54292.963492063493</v>
      </c>
      <c r="K458" s="719"/>
    </row>
    <row r="459" spans="1:11" s="51" customFormat="1" ht="26.25" customHeight="1" x14ac:dyDescent="0.3">
      <c r="A459" s="1102" t="s">
        <v>20</v>
      </c>
      <c r="B459" s="1103"/>
      <c r="C459" s="1103"/>
      <c r="D459" s="1103"/>
      <c r="E459" s="1103"/>
      <c r="F459" s="1103"/>
      <c r="G459" s="1103"/>
      <c r="H459" s="1103"/>
      <c r="I459" s="1103"/>
      <c r="J459" s="1104"/>
      <c r="K459" s="719"/>
    </row>
    <row r="460" spans="1:11" s="51" customFormat="1" x14ac:dyDescent="0.3">
      <c r="A460" s="825">
        <v>1</v>
      </c>
      <c r="B460" s="885" t="str">
        <f>'ЦКС 3'!A6</f>
        <v>оплата потребления газа</v>
      </c>
      <c r="C460" s="885"/>
      <c r="D460" s="885"/>
      <c r="E460" s="885"/>
      <c r="F460" s="825" t="str">
        <f>'ЦКС 3'!P6</f>
        <v>м. куб</v>
      </c>
      <c r="G460" s="908">
        <f>'ЦКС 3'!C6</f>
        <v>0.58809523809523812</v>
      </c>
      <c r="H460" s="908"/>
      <c r="I460" s="726">
        <f>J460/G460</f>
        <v>7152.5101214574897</v>
      </c>
      <c r="J460" s="736">
        <f>'ЦКС 3'!E6</f>
        <v>4206.3571428571431</v>
      </c>
      <c r="K460" s="719"/>
    </row>
    <row r="461" spans="1:11" s="51" customFormat="1" ht="33" customHeight="1" x14ac:dyDescent="0.3">
      <c r="A461" s="825">
        <v>2</v>
      </c>
      <c r="B461" s="885" t="str">
        <f>'ЦКС 3'!A7</f>
        <v>оплата потребления электрической энергии</v>
      </c>
      <c r="C461" s="885"/>
      <c r="D461" s="885"/>
      <c r="E461" s="885"/>
      <c r="F461" s="825" t="str">
        <f>'ЦКС 3'!P7</f>
        <v>Квт/ч</v>
      </c>
      <c r="G461" s="908">
        <f>'ЦКС 3'!C7</f>
        <v>328.8095238095238</v>
      </c>
      <c r="H461" s="908"/>
      <c r="I461" s="726">
        <f t="shared" ref="I461:I462" si="31">J461/G461</f>
        <v>7.7118030412744396</v>
      </c>
      <c r="J461" s="736">
        <f>'ЦКС 3'!E7</f>
        <v>2535.7142857142858</v>
      </c>
      <c r="K461" s="719"/>
    </row>
    <row r="462" spans="1:11" s="51" customFormat="1" ht="26.25" customHeight="1" x14ac:dyDescent="0.3">
      <c r="A462" s="825">
        <v>3</v>
      </c>
      <c r="B462" s="885" t="str">
        <f>'ЦКС 3'!A8</f>
        <v>оплата потребления водоснабжения</v>
      </c>
      <c r="C462" s="885"/>
      <c r="D462" s="885"/>
      <c r="E462" s="885"/>
      <c r="F462" s="825" t="str">
        <f>'ЦКС 3'!P8</f>
        <v>м. куб</v>
      </c>
      <c r="G462" s="908">
        <f>'ЦКС 3'!C8</f>
        <v>2.9761904761904763</v>
      </c>
      <c r="H462" s="908"/>
      <c r="I462" s="726">
        <f t="shared" si="31"/>
        <v>106.67999999999999</v>
      </c>
      <c r="J462" s="736">
        <f>'ЦКС 3'!E8</f>
        <v>317.5</v>
      </c>
      <c r="K462" s="719"/>
    </row>
    <row r="463" spans="1:11" s="51" customFormat="1" x14ac:dyDescent="0.3">
      <c r="A463" s="825"/>
      <c r="B463" s="1099" t="s">
        <v>63</v>
      </c>
      <c r="C463" s="1100"/>
      <c r="D463" s="1100"/>
      <c r="E463" s="1100"/>
      <c r="F463" s="1100"/>
      <c r="G463" s="1100"/>
      <c r="H463" s="1100"/>
      <c r="I463" s="1101"/>
      <c r="J463" s="736">
        <f>J460+J461+J462</f>
        <v>7059.5714285714294</v>
      </c>
      <c r="K463" s="719"/>
    </row>
    <row r="464" spans="1:11" s="51" customFormat="1" ht="45" customHeight="1" x14ac:dyDescent="0.3">
      <c r="A464" s="1096" t="s">
        <v>21</v>
      </c>
      <c r="B464" s="1097"/>
      <c r="C464" s="1097"/>
      <c r="D464" s="1097"/>
      <c r="E464" s="1097"/>
      <c r="F464" s="1097"/>
      <c r="G464" s="1097"/>
      <c r="H464" s="1097"/>
      <c r="I464" s="1097"/>
      <c r="J464" s="1098"/>
      <c r="K464" s="719"/>
    </row>
    <row r="465" spans="1:11" s="51" customFormat="1" ht="140.25" customHeight="1" x14ac:dyDescent="0.3">
      <c r="A465" s="825">
        <v>1</v>
      </c>
      <c r="B465" s="885" t="str">
        <f>'ЦКС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465" s="885"/>
      <c r="D465" s="885"/>
      <c r="E465" s="885"/>
      <c r="F465" s="825" t="str">
        <f>'ЦКС 3'!P11</f>
        <v>договор</v>
      </c>
      <c r="G465" s="909">
        <f>'ЦКС 3'!C11</f>
        <v>2.3809523809523808E-2</v>
      </c>
      <c r="H465" s="909"/>
      <c r="I465" s="726">
        <f>J465/G465</f>
        <v>20000</v>
      </c>
      <c r="J465" s="736">
        <f>'ЦКС 3'!E11</f>
        <v>476.1904761904762</v>
      </c>
      <c r="K465" s="719"/>
    </row>
    <row r="466" spans="1:11" s="51" customFormat="1" ht="63" customHeight="1" x14ac:dyDescent="0.3">
      <c r="A466" s="825">
        <v>2</v>
      </c>
      <c r="B466" s="885" t="str">
        <f>'ЦКС 3'!A12</f>
        <v>Реагирование на соообщения о срабатывании тревожной сигнализации</v>
      </c>
      <c r="C466" s="885"/>
      <c r="D466" s="885"/>
      <c r="E466" s="885"/>
      <c r="F466" s="825" t="str">
        <f>'ЦКС 3'!P12</f>
        <v>договор</v>
      </c>
      <c r="G466" s="909">
        <f>'ЦКС 3'!C12</f>
        <v>2.3809523809523808E-2</v>
      </c>
      <c r="H466" s="909"/>
      <c r="I466" s="726">
        <f t="shared" ref="I466:I470" si="32">J466/G466</f>
        <v>21667.000000000004</v>
      </c>
      <c r="J466" s="736">
        <f>'ЦКС 3'!E12</f>
        <v>515.88095238095241</v>
      </c>
      <c r="K466" s="719"/>
    </row>
    <row r="467" spans="1:11" s="51" customFormat="1" ht="42" customHeight="1" x14ac:dyDescent="0.3">
      <c r="A467" s="825">
        <v>3</v>
      </c>
      <c r="B467" s="885" t="str">
        <f>'ЦКС 3'!A13</f>
        <v>Тех обслуживание сети газораспределения</v>
      </c>
      <c r="C467" s="885"/>
      <c r="D467" s="885"/>
      <c r="E467" s="885"/>
      <c r="F467" s="825" t="str">
        <f>'ЦКС 3'!P13</f>
        <v>договор</v>
      </c>
      <c r="G467" s="909">
        <f>'ЦКС 3'!C13</f>
        <v>2.3809523809523808E-2</v>
      </c>
      <c r="H467" s="909"/>
      <c r="I467" s="726">
        <f t="shared" si="32"/>
        <v>15000.000000000002</v>
      </c>
      <c r="J467" s="736">
        <f>'ЦКС 3'!E13</f>
        <v>357.14285714285717</v>
      </c>
      <c r="K467" s="719"/>
    </row>
    <row r="468" spans="1:11" s="51" customFormat="1" ht="39" hidden="1" customHeight="1" x14ac:dyDescent="0.3">
      <c r="A468" s="825">
        <v>4</v>
      </c>
      <c r="B468" s="885" t="str">
        <f>'ЦКС 3'!A15</f>
        <v>Вывоз твердых бытовых отходов, утилизация отходов</v>
      </c>
      <c r="C468" s="885"/>
      <c r="D468" s="885"/>
      <c r="E468" s="885"/>
      <c r="F468" s="825" t="str">
        <f>'ЦКС 3'!P15</f>
        <v>договор</v>
      </c>
      <c r="G468" s="909">
        <f>'ЦКС 3'!C14</f>
        <v>0</v>
      </c>
      <c r="H468" s="909"/>
      <c r="I468" s="726" t="e">
        <f t="shared" si="32"/>
        <v>#DIV/0!</v>
      </c>
      <c r="J468" s="736">
        <f>'ЦКС 3'!E14</f>
        <v>0</v>
      </c>
      <c r="K468" s="719"/>
    </row>
    <row r="469" spans="1:11" s="51" customFormat="1" ht="45.75" customHeight="1" x14ac:dyDescent="0.3">
      <c r="A469" s="825">
        <v>4</v>
      </c>
      <c r="B469" s="885" t="str">
        <f>'ЦКС 3'!A15</f>
        <v>Вывоз твердых бытовых отходов, утилизация отходов</v>
      </c>
      <c r="C469" s="885"/>
      <c r="D469" s="885"/>
      <c r="E469" s="885"/>
      <c r="F469" s="825" t="str">
        <f>'ЦКС 3'!P15</f>
        <v>договор</v>
      </c>
      <c r="G469" s="909">
        <f>'ЦКС 3'!C15</f>
        <v>2.3809523809523808E-2</v>
      </c>
      <c r="H469" s="909"/>
      <c r="I469" s="726">
        <f t="shared" si="32"/>
        <v>7530</v>
      </c>
      <c r="J469" s="736">
        <f>'ЦКС 3'!E15</f>
        <v>179.28571428571428</v>
      </c>
      <c r="K469" s="719"/>
    </row>
    <row r="470" spans="1:11" s="51" customFormat="1" x14ac:dyDescent="0.3">
      <c r="A470" s="825">
        <v>5</v>
      </c>
      <c r="B470" s="884" t="str">
        <f>'ЦКС 3'!A16</f>
        <v>Прочие расходы на содержание объектов недвижимого имущества</v>
      </c>
      <c r="C470" s="884"/>
      <c r="D470" s="884"/>
      <c r="E470" s="884"/>
      <c r="F470" s="825" t="s">
        <v>82</v>
      </c>
      <c r="G470" s="909">
        <f>'ЦКС 3'!C16</f>
        <v>4.7619047619047616E-2</v>
      </c>
      <c r="H470" s="909"/>
      <c r="I470" s="726">
        <f t="shared" si="32"/>
        <v>50341.500000000007</v>
      </c>
      <c r="J470" s="736">
        <f>'ЦКС 3'!E16</f>
        <v>2397.2142857142858</v>
      </c>
      <c r="K470" s="719"/>
    </row>
    <row r="471" spans="1:11" s="51" customFormat="1" x14ac:dyDescent="0.3">
      <c r="A471" s="825"/>
      <c r="B471" s="1099" t="s">
        <v>63</v>
      </c>
      <c r="C471" s="1100"/>
      <c r="D471" s="1100"/>
      <c r="E471" s="1100"/>
      <c r="F471" s="1100"/>
      <c r="G471" s="1100"/>
      <c r="H471" s="1100"/>
      <c r="I471" s="1101"/>
      <c r="J471" s="736">
        <f>J465+J466+J467+J468+J469+J470</f>
        <v>3925.7142857142858</v>
      </c>
      <c r="K471" s="719"/>
    </row>
    <row r="472" spans="1:11" s="51" customFormat="1" ht="27" customHeight="1" x14ac:dyDescent="0.3">
      <c r="A472" s="1102" t="s">
        <v>22</v>
      </c>
      <c r="B472" s="1103"/>
      <c r="C472" s="1103"/>
      <c r="D472" s="1103"/>
      <c r="E472" s="1103"/>
      <c r="F472" s="1103"/>
      <c r="G472" s="1103"/>
      <c r="H472" s="1103"/>
      <c r="I472" s="1103"/>
      <c r="J472" s="1104"/>
      <c r="K472" s="719"/>
    </row>
    <row r="473" spans="1:11" s="51" customFormat="1" x14ac:dyDescent="0.3">
      <c r="A473" s="825">
        <v>1</v>
      </c>
      <c r="B473" s="885" t="str">
        <f>'ЦКС 3'!A23</f>
        <v>интернет</v>
      </c>
      <c r="C473" s="885"/>
      <c r="D473" s="885"/>
      <c r="E473" s="885"/>
      <c r="F473" s="825" t="str">
        <f>'ЦКС 3'!P23</f>
        <v>Гб</v>
      </c>
      <c r="G473" s="908">
        <f>'ЦКС 3'!C23</f>
        <v>7.9523809523809526</v>
      </c>
      <c r="H473" s="908"/>
      <c r="I473" s="726">
        <f>J473/G473</f>
        <v>49.901197604790418</v>
      </c>
      <c r="J473" s="736">
        <f>'ЦКС 3'!E23</f>
        <v>396.83333333333331</v>
      </c>
      <c r="K473" s="719"/>
    </row>
    <row r="474" spans="1:11" s="51" customFormat="1" x14ac:dyDescent="0.3">
      <c r="A474" s="825">
        <v>2</v>
      </c>
      <c r="B474" s="885" t="str">
        <f>'ЦКС 3'!A24</f>
        <v>услуги связи</v>
      </c>
      <c r="C474" s="885"/>
      <c r="D474" s="885"/>
      <c r="E474" s="885"/>
      <c r="F474" s="825" t="str">
        <f>'ЦКС 3'!P24</f>
        <v>мин.</v>
      </c>
      <c r="G474" s="908">
        <f>'ЦКС 3'!C24</f>
        <v>15.714285714285714</v>
      </c>
      <c r="H474" s="908"/>
      <c r="I474" s="726">
        <f>J474/G474</f>
        <v>10.101515151515152</v>
      </c>
      <c r="J474" s="736">
        <f>'ЦКС 3'!E24</f>
        <v>158.73809523809524</v>
      </c>
      <c r="K474" s="719"/>
    </row>
    <row r="475" spans="1:11" s="51" customFormat="1" x14ac:dyDescent="0.3">
      <c r="A475" s="825"/>
      <c r="B475" s="1099" t="s">
        <v>63</v>
      </c>
      <c r="C475" s="1100"/>
      <c r="D475" s="1100"/>
      <c r="E475" s="1100"/>
      <c r="F475" s="1100"/>
      <c r="G475" s="1100"/>
      <c r="H475" s="1100"/>
      <c r="I475" s="1101"/>
      <c r="J475" s="736">
        <f>J473+J474</f>
        <v>555.57142857142856</v>
      </c>
      <c r="K475" s="719"/>
    </row>
    <row r="476" spans="1:11" s="51" customFormat="1" ht="27" customHeight="1" x14ac:dyDescent="0.3">
      <c r="A476" s="1102" t="s">
        <v>23</v>
      </c>
      <c r="B476" s="1103"/>
      <c r="C476" s="1103"/>
      <c r="D476" s="1103"/>
      <c r="E476" s="1103"/>
      <c r="F476" s="1103"/>
      <c r="G476" s="1103"/>
      <c r="H476" s="1103"/>
      <c r="I476" s="1103"/>
      <c r="J476" s="1104"/>
      <c r="K476" s="719"/>
    </row>
    <row r="477" spans="1:11" s="51" customFormat="1" x14ac:dyDescent="0.3">
      <c r="A477" s="825">
        <v>1</v>
      </c>
      <c r="B477" s="885" t="str">
        <f>'ЦКС 3'!A19</f>
        <v>ГСМ</v>
      </c>
      <c r="C477" s="885"/>
      <c r="D477" s="885"/>
      <c r="E477" s="885"/>
      <c r="F477" s="825" t="str">
        <f>'ЦКС 3'!P19</f>
        <v>л.</v>
      </c>
      <c r="G477" s="909">
        <f>'ЦКС 3'!C19</f>
        <v>31.904761904761905</v>
      </c>
      <c r="H477" s="909"/>
      <c r="I477" s="726">
        <f>J477/G477</f>
        <v>49.751492537313432</v>
      </c>
      <c r="J477" s="736">
        <f>'ЦКС 3'!E19</f>
        <v>1587.3095238095239</v>
      </c>
      <c r="K477" s="719"/>
    </row>
    <row r="478" spans="1:11" s="51" customFormat="1" ht="50.25" customHeight="1" x14ac:dyDescent="0.3">
      <c r="A478" s="825">
        <v>2</v>
      </c>
      <c r="B478" s="885" t="str">
        <f>'ЦКС 3'!A20</f>
        <v>Техническое обслуживание и ремонтов автотранспорта</v>
      </c>
      <c r="C478" s="885"/>
      <c r="D478" s="885"/>
      <c r="E478" s="885"/>
      <c r="F478" s="825" t="str">
        <f>'ЦКС 3'!D31</f>
        <v>договор</v>
      </c>
      <c r="G478" s="909">
        <f>'ЦКС 3'!C20</f>
        <v>2.3809523809523808E-2</v>
      </c>
      <c r="H478" s="909"/>
      <c r="I478" s="726">
        <f t="shared" ref="I478:I485" si="33">J478/G478</f>
        <v>208391</v>
      </c>
      <c r="J478" s="736">
        <f>'ЦКС 3'!E20</f>
        <v>4961.6904761904761</v>
      </c>
      <c r="K478" s="719"/>
    </row>
    <row r="479" spans="1:11" s="51" customFormat="1" ht="21.75" customHeight="1" x14ac:dyDescent="0.3">
      <c r="A479" s="825">
        <v>3</v>
      </c>
      <c r="B479" s="885" t="str">
        <f>'ЦКС 3'!A31</f>
        <v>Медицинский осмотр</v>
      </c>
      <c r="C479" s="885"/>
      <c r="D479" s="885"/>
      <c r="E479" s="885"/>
      <c r="F479" s="825" t="str">
        <f>'ЦКС 3'!D32</f>
        <v>договор</v>
      </c>
      <c r="G479" s="909">
        <f>'ЦКС 3'!C31</f>
        <v>2.3809523809523808E-2</v>
      </c>
      <c r="H479" s="909"/>
      <c r="I479" s="726">
        <f t="shared" si="33"/>
        <v>10000</v>
      </c>
      <c r="J479" s="736">
        <f>'ЦКС 3'!E31</f>
        <v>238.0952380952381</v>
      </c>
      <c r="K479" s="719"/>
    </row>
    <row r="480" spans="1:11" s="51" customFormat="1" ht="59.25" customHeight="1" x14ac:dyDescent="0.3">
      <c r="A480" s="825">
        <v>4</v>
      </c>
      <c r="B480" s="885" t="str">
        <f>'ЦКС 3'!A32</f>
        <v>Производственный контроль, аккарицидная обработка, дератизация, дезинфекция и пр. санитарно-гигиенические меропориятия</v>
      </c>
      <c r="C480" s="885"/>
      <c r="D480" s="885"/>
      <c r="E480" s="885"/>
      <c r="F480" s="825" t="str">
        <f>'ЦКС 3'!D33</f>
        <v>договор</v>
      </c>
      <c r="G480" s="909">
        <f>'ЦКС 3'!C32</f>
        <v>2.3809523809523808E-2</v>
      </c>
      <c r="H480" s="909"/>
      <c r="I480" s="726">
        <f t="shared" si="33"/>
        <v>10000</v>
      </c>
      <c r="J480" s="736">
        <f>'ЦКС 3'!E32</f>
        <v>238.0952380952381</v>
      </c>
      <c r="K480" s="719"/>
    </row>
    <row r="481" spans="1:11" s="51" customFormat="1" ht="64.5" customHeight="1" x14ac:dyDescent="0.3">
      <c r="A481" s="825">
        <v>5</v>
      </c>
      <c r="B481" s="885" t="str">
        <f>'ЦКС 3'!A33</f>
        <v>Обучение персонала (электро, тепло, газовое хозяйство, пожарная безопасность, охрана труда и др.)</v>
      </c>
      <c r="C481" s="885"/>
      <c r="D481" s="885"/>
      <c r="E481" s="885"/>
      <c r="F481" s="825" t="str">
        <f>'ЦКС 3'!D34</f>
        <v>договор</v>
      </c>
      <c r="G481" s="909">
        <f>'ЦКС 3'!C33</f>
        <v>2.3809523809523808E-2</v>
      </c>
      <c r="H481" s="909"/>
      <c r="I481" s="726">
        <f t="shared" si="33"/>
        <v>8334</v>
      </c>
      <c r="J481" s="736">
        <f>'ЦКС 3'!E33</f>
        <v>198.42857142857142</v>
      </c>
      <c r="K481" s="719"/>
    </row>
    <row r="482" spans="1:11" s="51" customFormat="1" ht="33.75" customHeight="1" x14ac:dyDescent="0.3">
      <c r="A482" s="825">
        <v>6</v>
      </c>
      <c r="B482" s="885" t="str">
        <f>'ЦКС 3'!A34</f>
        <v>Обслуживание программных комплексов</v>
      </c>
      <c r="C482" s="885"/>
      <c r="D482" s="885"/>
      <c r="E482" s="885"/>
      <c r="F482" s="825" t="s">
        <v>82</v>
      </c>
      <c r="G482" s="909">
        <f>'ЦКС 3'!C34</f>
        <v>2.3809523809523808E-2</v>
      </c>
      <c r="H482" s="909"/>
      <c r="I482" s="726">
        <f t="shared" si="33"/>
        <v>8334</v>
      </c>
      <c r="J482" s="736">
        <f>'ЦКС 3'!E34</f>
        <v>198.42857142857142</v>
      </c>
      <c r="K482" s="719"/>
    </row>
    <row r="483" spans="1:11" s="51" customFormat="1" ht="24.75" hidden="1" customHeight="1" x14ac:dyDescent="0.3">
      <c r="A483" s="825">
        <v>7</v>
      </c>
      <c r="B483" s="885" t="str">
        <f>'ЦКС 3'!A35</f>
        <v>Специальная оценка условий труда</v>
      </c>
      <c r="C483" s="885"/>
      <c r="D483" s="885"/>
      <c r="E483" s="885"/>
      <c r="F483" s="825" t="str">
        <f>'ЦКС 3'!D36</f>
        <v>договор</v>
      </c>
      <c r="G483" s="909">
        <f>'ЦКС 3'!C35</f>
        <v>0</v>
      </c>
      <c r="H483" s="909"/>
      <c r="I483" s="726" t="e">
        <f t="shared" si="33"/>
        <v>#DIV/0!</v>
      </c>
      <c r="J483" s="736">
        <f>'ЦКС 3'!E35</f>
        <v>0</v>
      </c>
      <c r="K483" s="719"/>
    </row>
    <row r="484" spans="1:11" s="51" customFormat="1" ht="6.75" hidden="1" customHeight="1" x14ac:dyDescent="0.3">
      <c r="A484" s="735">
        <v>8</v>
      </c>
      <c r="B484" s="885" t="str">
        <f>'ЦКС 3'!A36</f>
        <v>Страховое особо опасных объектов</v>
      </c>
      <c r="C484" s="885"/>
      <c r="D484" s="885"/>
      <c r="E484" s="885"/>
      <c r="F484" s="825" t="str">
        <f>'ЦКС 3'!D37</f>
        <v>договор</v>
      </c>
      <c r="G484" s="909">
        <f>'ЦКС 3'!C36</f>
        <v>2.3809523809523808E-2</v>
      </c>
      <c r="H484" s="909"/>
      <c r="I484" s="726">
        <f t="shared" si="33"/>
        <v>0</v>
      </c>
      <c r="J484" s="736">
        <f>'ЦКС 3'!E36</f>
        <v>0</v>
      </c>
      <c r="K484" s="719"/>
    </row>
    <row r="485" spans="1:11" s="51" customFormat="1" ht="42.75" customHeight="1" x14ac:dyDescent="0.3">
      <c r="A485" s="735">
        <v>7</v>
      </c>
      <c r="B485" s="885" t="str">
        <f>'ЦКС 3'!A37</f>
        <v>Проверка и ремонт измерительных приборов</v>
      </c>
      <c r="C485" s="885"/>
      <c r="D485" s="885"/>
      <c r="E485" s="885"/>
      <c r="F485" s="825" t="s">
        <v>82</v>
      </c>
      <c r="G485" s="909">
        <f>'ЦКС 3'!C37</f>
        <v>2.3809523809523808E-2</v>
      </c>
      <c r="H485" s="909"/>
      <c r="I485" s="726">
        <f t="shared" si="33"/>
        <v>20000</v>
      </c>
      <c r="J485" s="736">
        <f>'ЦКС 3'!E37</f>
        <v>476.1904761904762</v>
      </c>
      <c r="K485" s="719"/>
    </row>
    <row r="486" spans="1:11" s="51" customFormat="1" x14ac:dyDescent="0.3">
      <c r="A486" s="734"/>
      <c r="B486" s="1099" t="s">
        <v>63</v>
      </c>
      <c r="C486" s="1100"/>
      <c r="D486" s="1100"/>
      <c r="E486" s="1100"/>
      <c r="F486" s="1100"/>
      <c r="G486" s="1100"/>
      <c r="H486" s="1100"/>
      <c r="I486" s="1101"/>
      <c r="J486" s="736">
        <f>J485+J482+J481+J480+J479+J478+J477</f>
        <v>7898.2380952380954</v>
      </c>
      <c r="K486" s="719"/>
    </row>
    <row r="487" spans="1:11" s="51" customFormat="1" x14ac:dyDescent="0.3">
      <c r="A487" s="734"/>
      <c r="B487" s="1099" t="s">
        <v>69</v>
      </c>
      <c r="C487" s="1100"/>
      <c r="D487" s="1100"/>
      <c r="E487" s="1100"/>
      <c r="F487" s="1100"/>
      <c r="G487" s="1100"/>
      <c r="H487" s="1100"/>
      <c r="I487" s="1101"/>
      <c r="J487" s="736">
        <f>J440+J450+J458+J463+J471+J475+J486</f>
        <v>152199.66825396827</v>
      </c>
      <c r="K487" s="725">
        <f>J487*42</f>
        <v>6392386.0666666673</v>
      </c>
    </row>
    <row r="488" spans="1:11" s="51" customFormat="1" x14ac:dyDescent="0.3">
      <c r="A488" s="719"/>
      <c r="B488" s="719"/>
      <c r="C488" s="719"/>
      <c r="D488" s="719"/>
      <c r="E488" s="719"/>
      <c r="F488" s="719"/>
      <c r="G488" s="719"/>
      <c r="H488" s="719"/>
      <c r="I488" s="725"/>
      <c r="J488" s="725"/>
      <c r="K488" s="719"/>
    </row>
    <row r="489" spans="1:11" s="51" customFormat="1" x14ac:dyDescent="0.3">
      <c r="A489" s="719"/>
      <c r="B489" s="719"/>
      <c r="C489" s="719"/>
      <c r="D489" s="719"/>
      <c r="E489" s="719"/>
      <c r="F489" s="719"/>
      <c r="G489" s="719"/>
      <c r="H489" s="719"/>
      <c r="I489" s="725"/>
      <c r="J489" s="725"/>
      <c r="K489" s="719"/>
    </row>
    <row r="490" spans="1:11" s="51" customFormat="1" x14ac:dyDescent="0.3">
      <c r="A490" s="901" t="s">
        <v>4</v>
      </c>
      <c r="B490" s="901"/>
      <c r="C490" s="901"/>
      <c r="D490" s="901"/>
      <c r="E490" s="901"/>
      <c r="F490" s="901"/>
      <c r="G490" s="901"/>
      <c r="H490" s="901"/>
      <c r="I490" s="901"/>
      <c r="J490" s="901"/>
      <c r="K490" s="719"/>
    </row>
    <row r="491" spans="1:11" s="51" customFormat="1" x14ac:dyDescent="0.3">
      <c r="A491" s="901" t="s">
        <v>5</v>
      </c>
      <c r="B491" s="901"/>
      <c r="C491" s="901"/>
      <c r="D491" s="901"/>
      <c r="E491" s="901"/>
      <c r="F491" s="901"/>
      <c r="G491" s="901"/>
      <c r="H491" s="901"/>
      <c r="I491" s="901"/>
      <c r="J491" s="901"/>
      <c r="K491" s="719"/>
    </row>
    <row r="492" spans="1:11" s="51" customFormat="1" x14ac:dyDescent="0.3">
      <c r="A492" s="901" t="s">
        <v>6</v>
      </c>
      <c r="B492" s="901"/>
      <c r="C492" s="901"/>
      <c r="D492" s="901"/>
      <c r="E492" s="901"/>
      <c r="F492" s="901"/>
      <c r="G492" s="901"/>
      <c r="H492" s="901"/>
      <c r="I492" s="901"/>
      <c r="J492" s="901"/>
      <c r="K492" s="719"/>
    </row>
    <row r="493" spans="1:11" s="51" customFormat="1" ht="18.75" customHeight="1" x14ac:dyDescent="0.3">
      <c r="A493" s="902" t="s">
        <v>284</v>
      </c>
      <c r="B493" s="902"/>
      <c r="C493" s="902"/>
      <c r="D493" s="902"/>
      <c r="E493" s="902"/>
      <c r="F493" s="902"/>
      <c r="G493" s="902"/>
      <c r="H493" s="902"/>
      <c r="I493" s="902"/>
      <c r="J493" s="902"/>
      <c r="K493" s="719"/>
    </row>
    <row r="494" spans="1:11" s="51" customFormat="1" x14ac:dyDescent="0.3">
      <c r="A494" s="903" t="s">
        <v>308</v>
      </c>
      <c r="B494" s="903"/>
      <c r="C494" s="903"/>
      <c r="D494" s="903"/>
      <c r="E494" s="903"/>
      <c r="F494" s="903"/>
      <c r="G494" s="903"/>
      <c r="H494" s="903"/>
      <c r="I494" s="903"/>
      <c r="J494" s="903"/>
      <c r="K494" s="719"/>
    </row>
    <row r="495" spans="1:11" s="51" customFormat="1" x14ac:dyDescent="0.3">
      <c r="A495" s="905" t="s">
        <v>124</v>
      </c>
      <c r="B495" s="905"/>
      <c r="C495" s="905"/>
      <c r="D495" s="905"/>
      <c r="E495" s="905"/>
      <c r="F495" s="905"/>
      <c r="G495" s="905"/>
      <c r="H495" s="905"/>
      <c r="I495" s="905"/>
      <c r="J495" s="725"/>
      <c r="K495" s="719"/>
    </row>
    <row r="496" spans="1:11" s="51" customFormat="1" x14ac:dyDescent="0.3">
      <c r="A496" s="719"/>
      <c r="B496" s="719"/>
      <c r="C496" s="719"/>
      <c r="D496" s="719"/>
      <c r="E496" s="719"/>
      <c r="F496" s="719"/>
      <c r="G496" s="719"/>
      <c r="H496" s="719"/>
      <c r="I496" s="725"/>
      <c r="J496" s="725"/>
      <c r="K496" s="719"/>
    </row>
    <row r="497" spans="1:11" s="51" customFormat="1" ht="75" customHeight="1" x14ac:dyDescent="0.3">
      <c r="A497" s="826" t="s">
        <v>9</v>
      </c>
      <c r="B497" s="883" t="s">
        <v>10</v>
      </c>
      <c r="C497" s="883"/>
      <c r="D497" s="883"/>
      <c r="E497" s="883"/>
      <c r="F497" s="826" t="s">
        <v>11</v>
      </c>
      <c r="G497" s="883" t="s">
        <v>12</v>
      </c>
      <c r="H497" s="883"/>
      <c r="I497" s="726" t="s">
        <v>31</v>
      </c>
      <c r="J497" s="726" t="s">
        <v>32</v>
      </c>
      <c r="K497" s="719"/>
    </row>
    <row r="498" spans="1:11" s="51" customFormat="1" x14ac:dyDescent="0.3">
      <c r="A498" s="825">
        <v>1</v>
      </c>
      <c r="B498" s="884">
        <v>2</v>
      </c>
      <c r="C498" s="884"/>
      <c r="D498" s="884"/>
      <c r="E498" s="884"/>
      <c r="F498" s="825">
        <v>3</v>
      </c>
      <c r="G498" s="884">
        <v>3</v>
      </c>
      <c r="H498" s="1099"/>
      <c r="I498" s="726">
        <v>4</v>
      </c>
      <c r="J498" s="727">
        <v>5</v>
      </c>
      <c r="K498" s="719"/>
    </row>
    <row r="499" spans="1:11" s="51" customFormat="1" ht="28.5" customHeight="1" x14ac:dyDescent="0.3">
      <c r="A499" s="1096" t="s">
        <v>18</v>
      </c>
      <c r="B499" s="1097"/>
      <c r="C499" s="1097"/>
      <c r="D499" s="1097"/>
      <c r="E499" s="1097"/>
      <c r="F499" s="1097"/>
      <c r="G499" s="1097"/>
      <c r="H499" s="1097"/>
      <c r="I499" s="1097"/>
      <c r="J499" s="1098"/>
      <c r="K499" s="719"/>
    </row>
    <row r="500" spans="1:11" s="51" customFormat="1" ht="43.5" customHeight="1" x14ac:dyDescent="0.3">
      <c r="A500" s="1102" t="s">
        <v>14</v>
      </c>
      <c r="B500" s="1103"/>
      <c r="C500" s="1103"/>
      <c r="D500" s="1103"/>
      <c r="E500" s="1103"/>
      <c r="F500" s="1103"/>
      <c r="G500" s="1103"/>
      <c r="H500" s="1103"/>
      <c r="I500" s="1103"/>
      <c r="J500" s="1104"/>
      <c r="K500" s="719"/>
    </row>
    <row r="501" spans="1:11" s="51" customFormat="1" x14ac:dyDescent="0.3">
      <c r="A501" s="825">
        <v>1</v>
      </c>
      <c r="B501" s="880" t="str">
        <f>ЦКС!B43</f>
        <v>Директор</v>
      </c>
      <c r="C501" s="881"/>
      <c r="D501" s="881"/>
      <c r="E501" s="882"/>
      <c r="F501" s="826" t="s">
        <v>162</v>
      </c>
      <c r="G501" s="908">
        <f>ЦКС!E24</f>
        <v>0.44204851752021562</v>
      </c>
      <c r="H501" s="908"/>
      <c r="I501" s="726">
        <f>J501/G501</f>
        <v>476.34146341463412</v>
      </c>
      <c r="J501" s="736">
        <f>ЦКС!F24</f>
        <v>210.56603773584905</v>
      </c>
      <c r="K501" s="719"/>
    </row>
    <row r="502" spans="1:11" s="51" customFormat="1" x14ac:dyDescent="0.3">
      <c r="A502" s="825">
        <v>2</v>
      </c>
      <c r="B502" s="880" t="str">
        <f>ЦКС!B44</f>
        <v>Художественный руководитель</v>
      </c>
      <c r="C502" s="881"/>
      <c r="D502" s="881"/>
      <c r="E502" s="882"/>
      <c r="F502" s="826" t="s">
        <v>162</v>
      </c>
      <c r="G502" s="908">
        <f>ЦКС!E25</f>
        <v>0.88409703504043125</v>
      </c>
      <c r="H502" s="908"/>
      <c r="I502" s="726">
        <f t="shared" ref="I502:I514" si="34">J502/G502</f>
        <v>277.86585365853659</v>
      </c>
      <c r="J502" s="736">
        <f>ЦКС!F25</f>
        <v>245.66037735849056</v>
      </c>
      <c r="K502" s="719"/>
    </row>
    <row r="503" spans="1:11" s="51" customFormat="1" x14ac:dyDescent="0.3">
      <c r="A503" s="825">
        <v>3</v>
      </c>
      <c r="B503" s="880" t="str">
        <f>ЦКС!B45</f>
        <v>Звукооператор</v>
      </c>
      <c r="C503" s="881"/>
      <c r="D503" s="881"/>
      <c r="E503" s="882"/>
      <c r="F503" s="826" t="s">
        <v>162</v>
      </c>
      <c r="G503" s="908">
        <f>ЦКС!E26</f>
        <v>1.52</v>
      </c>
      <c r="H503" s="908"/>
      <c r="I503" s="726">
        <f t="shared" si="34"/>
        <v>115.44190665342602</v>
      </c>
      <c r="J503" s="736">
        <f>ЦКС!F26</f>
        <v>175.47169811320754</v>
      </c>
      <c r="K503" s="719"/>
    </row>
    <row r="504" spans="1:11" s="51" customFormat="1" x14ac:dyDescent="0.3">
      <c r="A504" s="825">
        <v>4</v>
      </c>
      <c r="B504" s="880" t="str">
        <f>ЦКС!B46</f>
        <v>Редактор клубного учреждения</v>
      </c>
      <c r="C504" s="881"/>
      <c r="D504" s="881"/>
      <c r="E504" s="882"/>
      <c r="F504" s="826" t="s">
        <v>162</v>
      </c>
      <c r="G504" s="908">
        <f>ЦКС!E27</f>
        <v>3.04</v>
      </c>
      <c r="H504" s="908"/>
      <c r="I504" s="726">
        <f t="shared" si="34"/>
        <v>161.61866931479642</v>
      </c>
      <c r="J504" s="736">
        <f>ЦКС!F27</f>
        <v>491.32075471698113</v>
      </c>
      <c r="K504" s="719"/>
    </row>
    <row r="505" spans="1:11" s="51" customFormat="1" x14ac:dyDescent="0.3">
      <c r="A505" s="825">
        <v>5</v>
      </c>
      <c r="B505" s="880" t="str">
        <f>ЦКС!B47</f>
        <v>Художник - оформитель</v>
      </c>
      <c r="C505" s="881"/>
      <c r="D505" s="881"/>
      <c r="E505" s="882"/>
      <c r="F505" s="826" t="s">
        <v>162</v>
      </c>
      <c r="G505" s="908">
        <f>ЦКС!E28</f>
        <v>1.52</v>
      </c>
      <c r="H505" s="908"/>
      <c r="I505" s="726">
        <f t="shared" si="34"/>
        <v>138.53028798411123</v>
      </c>
      <c r="J505" s="736">
        <f>ЦКС!F28</f>
        <v>210.56603773584905</v>
      </c>
      <c r="K505" s="719"/>
    </row>
    <row r="506" spans="1:11" s="51" customFormat="1" x14ac:dyDescent="0.3">
      <c r="A506" s="825">
        <v>6</v>
      </c>
      <c r="B506" s="880" t="str">
        <f>ЦКС!B48</f>
        <v>Художник по свету</v>
      </c>
      <c r="C506" s="881"/>
      <c r="D506" s="881"/>
      <c r="E506" s="882"/>
      <c r="F506" s="826" t="s">
        <v>162</v>
      </c>
      <c r="G506" s="908">
        <f>ЦКС!E29</f>
        <v>0.76</v>
      </c>
      <c r="H506" s="908"/>
      <c r="I506" s="726">
        <f t="shared" si="34"/>
        <v>92.353525322740808</v>
      </c>
      <c r="J506" s="736">
        <f>ЦКС!F29</f>
        <v>70.188679245283012</v>
      </c>
      <c r="K506" s="719"/>
    </row>
    <row r="507" spans="1:11" s="51" customFormat="1" x14ac:dyDescent="0.3">
      <c r="A507" s="825">
        <v>7</v>
      </c>
      <c r="B507" s="880" t="str">
        <f>ЦКС!B49</f>
        <v>Руководитель кукольного кружка</v>
      </c>
      <c r="C507" s="881"/>
      <c r="D507" s="881"/>
      <c r="E507" s="882"/>
      <c r="F507" s="826" t="s">
        <v>162</v>
      </c>
      <c r="G507" s="908">
        <f>ЦКС!E30</f>
        <v>1.52</v>
      </c>
      <c r="H507" s="908"/>
      <c r="I507" s="726">
        <f t="shared" si="34"/>
        <v>161.61866931479642</v>
      </c>
      <c r="J507" s="736">
        <f>ЦКС!F30</f>
        <v>245.66037735849056</v>
      </c>
      <c r="K507" s="719"/>
    </row>
    <row r="508" spans="1:11" s="51" customFormat="1" x14ac:dyDescent="0.3">
      <c r="A508" s="825">
        <v>8</v>
      </c>
      <c r="B508" s="880" t="str">
        <f>ЦКС!B50</f>
        <v>Руководитель кружка</v>
      </c>
      <c r="C508" s="881"/>
      <c r="D508" s="881"/>
      <c r="E508" s="882"/>
      <c r="F508" s="826" t="s">
        <v>162</v>
      </c>
      <c r="G508" s="908">
        <f>ЦКС!E31</f>
        <v>4.5600000000000005</v>
      </c>
      <c r="H508" s="908"/>
      <c r="I508" s="726">
        <f t="shared" si="34"/>
        <v>120.05958291956306</v>
      </c>
      <c r="J508" s="736">
        <f>ЦКС!F31</f>
        <v>547.47169811320759</v>
      </c>
      <c r="K508" s="719"/>
    </row>
    <row r="509" spans="1:11" s="51" customFormat="1" x14ac:dyDescent="0.3">
      <c r="A509" s="825">
        <v>9</v>
      </c>
      <c r="B509" s="880" t="str">
        <f>ЦКС!B51</f>
        <v>Зав. костюмерной</v>
      </c>
      <c r="C509" s="881"/>
      <c r="D509" s="881"/>
      <c r="E509" s="882"/>
      <c r="F509" s="826" t="s">
        <v>162</v>
      </c>
      <c r="G509" s="908">
        <f>ЦКС!E32</f>
        <v>1.52</v>
      </c>
      <c r="H509" s="908"/>
      <c r="I509" s="726">
        <f t="shared" si="34"/>
        <v>109.90069513406158</v>
      </c>
      <c r="J509" s="736">
        <f>ЦКС!F32</f>
        <v>167.04905660377361</v>
      </c>
      <c r="K509" s="719"/>
    </row>
    <row r="510" spans="1:11" s="51" customFormat="1" x14ac:dyDescent="0.3">
      <c r="A510" s="825">
        <v>10</v>
      </c>
      <c r="B510" s="880" t="str">
        <f>ЦКС!B52</f>
        <v>культ организатор</v>
      </c>
      <c r="C510" s="881"/>
      <c r="D510" s="881"/>
      <c r="E510" s="882"/>
      <c r="F510" s="826" t="s">
        <v>162</v>
      </c>
      <c r="G510" s="908">
        <f>ЦКС!E33</f>
        <v>1.52</v>
      </c>
      <c r="H510" s="908"/>
      <c r="I510" s="726">
        <f t="shared" si="34"/>
        <v>161.61866931479642</v>
      </c>
      <c r="J510" s="736">
        <f>ЦКС!F33</f>
        <v>245.66037735849056</v>
      </c>
      <c r="K510" s="719"/>
    </row>
    <row r="511" spans="1:11" s="51" customFormat="1" x14ac:dyDescent="0.3">
      <c r="A511" s="825">
        <v>11</v>
      </c>
      <c r="B511" s="880" t="str">
        <f>ЦКС!B53</f>
        <v>хормейстер</v>
      </c>
      <c r="C511" s="881"/>
      <c r="D511" s="881"/>
      <c r="E511" s="882"/>
      <c r="F511" s="826" t="s">
        <v>162</v>
      </c>
      <c r="G511" s="908">
        <f>ЦКС!E34</f>
        <v>5.32</v>
      </c>
      <c r="H511" s="908"/>
      <c r="I511" s="726">
        <f t="shared" si="34"/>
        <v>140.37735849056605</v>
      </c>
      <c r="J511" s="736">
        <f>ЦКС!F34</f>
        <v>746.80754716981141</v>
      </c>
      <c r="K511" s="719"/>
    </row>
    <row r="512" spans="1:11" s="51" customFormat="1" x14ac:dyDescent="0.3">
      <c r="A512" s="825">
        <v>12</v>
      </c>
      <c r="B512" s="880" t="str">
        <f>ЦКС!B54</f>
        <v>Балетмейстер-постановщик</v>
      </c>
      <c r="C512" s="881"/>
      <c r="D512" s="881"/>
      <c r="E512" s="882"/>
      <c r="F512" s="826" t="s">
        <v>162</v>
      </c>
      <c r="G512" s="908">
        <f>ЦКС!E35</f>
        <v>1.52</v>
      </c>
      <c r="H512" s="908"/>
      <c r="I512" s="726">
        <f t="shared" si="34"/>
        <v>129.29493545183715</v>
      </c>
      <c r="J512" s="736">
        <f>ЦКС!F35</f>
        <v>196.52830188679246</v>
      </c>
      <c r="K512" s="719"/>
    </row>
    <row r="513" spans="1:11" s="51" customFormat="1" x14ac:dyDescent="0.3">
      <c r="A513" s="825">
        <v>13</v>
      </c>
      <c r="B513" s="880" t="str">
        <f>ЦКС!B55</f>
        <v>Режиссер- постановщик театра</v>
      </c>
      <c r="C513" s="881"/>
      <c r="D513" s="881"/>
      <c r="E513" s="882"/>
      <c r="F513" s="826" t="s">
        <v>162</v>
      </c>
      <c r="G513" s="908">
        <f>ЦКС!E36</f>
        <v>1.52</v>
      </c>
      <c r="H513" s="908"/>
      <c r="I513" s="726">
        <f t="shared" si="34"/>
        <v>138.53028798411123</v>
      </c>
      <c r="J513" s="736">
        <f>ЦКС!F36</f>
        <v>210.56603773584905</v>
      </c>
      <c r="K513" s="719"/>
    </row>
    <row r="514" spans="1:11" s="51" customFormat="1" ht="19.5" customHeight="1" x14ac:dyDescent="0.3">
      <c r="A514" s="825">
        <v>14</v>
      </c>
      <c r="B514" s="880" t="str">
        <f>ЦКС!B56</f>
        <v>Режиссер массовых представлений</v>
      </c>
      <c r="C514" s="881"/>
      <c r="D514" s="881"/>
      <c r="E514" s="882"/>
      <c r="F514" s="826" t="s">
        <v>162</v>
      </c>
      <c r="G514" s="908">
        <f>ЦКС!E37</f>
        <v>4.5600000000000005</v>
      </c>
      <c r="H514" s="908"/>
      <c r="I514" s="726">
        <f t="shared" si="34"/>
        <v>138.5302879841112</v>
      </c>
      <c r="J514" s="736">
        <f>ЦКС!F37</f>
        <v>631.69811320754718</v>
      </c>
      <c r="K514" s="719"/>
    </row>
    <row r="515" spans="1:11" s="51" customFormat="1" ht="19.5" customHeight="1" x14ac:dyDescent="0.3">
      <c r="A515" s="884" t="s">
        <v>63</v>
      </c>
      <c r="B515" s="884"/>
      <c r="C515" s="884"/>
      <c r="D515" s="884"/>
      <c r="E515" s="884"/>
      <c r="F515" s="884"/>
      <c r="G515" s="884"/>
      <c r="H515" s="884"/>
      <c r="I515" s="726"/>
      <c r="J515" s="757">
        <f>J501+J502+J503+J504+J505+J506+J507+J508+J509+J510+J511+J512+J513+J514</f>
        <v>4395.2150943396236</v>
      </c>
      <c r="K515" s="719"/>
    </row>
    <row r="516" spans="1:11" s="51" customFormat="1" ht="67.5" customHeight="1" x14ac:dyDescent="0.3">
      <c r="A516" s="1102" t="s">
        <v>15</v>
      </c>
      <c r="B516" s="1103"/>
      <c r="C516" s="1103"/>
      <c r="D516" s="1103"/>
      <c r="E516" s="1103"/>
      <c r="F516" s="1103"/>
      <c r="G516" s="1103"/>
      <c r="H516" s="1103"/>
      <c r="I516" s="1103"/>
      <c r="J516" s="1104"/>
      <c r="K516" s="719"/>
    </row>
    <row r="517" spans="1:11" s="51" customFormat="1" x14ac:dyDescent="0.3">
      <c r="A517" s="825">
        <v>1</v>
      </c>
      <c r="B517" s="885" t="str">
        <f>'ЦКС 2'!A33</f>
        <v>бумага офисная</v>
      </c>
      <c r="C517" s="885"/>
      <c r="D517" s="885"/>
      <c r="E517" s="885"/>
      <c r="F517" s="825" t="str">
        <f>'ЦКС 2'!L33</f>
        <v>уп.</v>
      </c>
      <c r="G517" s="909">
        <f>'ЦКС 2'!M19</f>
        <v>2.0215633423180591E-2</v>
      </c>
      <c r="H517" s="909"/>
      <c r="I517" s="726">
        <f>J517/G517</f>
        <v>500</v>
      </c>
      <c r="J517" s="736">
        <f>'ЦКС 2'!C19</f>
        <v>10.107816711590296</v>
      </c>
      <c r="K517" s="719"/>
    </row>
    <row r="518" spans="1:11" s="51" customFormat="1" ht="18" customHeight="1" x14ac:dyDescent="0.3">
      <c r="A518" s="825">
        <v>2</v>
      </c>
      <c r="B518" s="885" t="str">
        <f>'ЦКС 2'!A34</f>
        <v>Вкладыш в папку-скоросшиватель</v>
      </c>
      <c r="C518" s="885"/>
      <c r="D518" s="885"/>
      <c r="E518" s="885"/>
      <c r="F518" s="825" t="str">
        <f>'ЦКС 2'!L34</f>
        <v>шт.</v>
      </c>
      <c r="G518" s="909">
        <f>'ЦКС 2'!M20</f>
        <v>0.40431266846361186</v>
      </c>
      <c r="H518" s="909"/>
      <c r="I518" s="726">
        <f t="shared" ref="I518:I524" si="35">J518/G518</f>
        <v>1</v>
      </c>
      <c r="J518" s="736">
        <f>'ЦКС 2'!C20</f>
        <v>0.40431266846361186</v>
      </c>
      <c r="K518" s="719"/>
    </row>
    <row r="519" spans="1:11" s="51" customFormat="1" ht="15.75" customHeight="1" x14ac:dyDescent="0.3">
      <c r="A519" s="825">
        <v>3</v>
      </c>
      <c r="B519" s="885" t="str">
        <f>'ЦКС 2'!A35</f>
        <v>папка-скоросшиватель</v>
      </c>
      <c r="C519" s="885"/>
      <c r="D519" s="885"/>
      <c r="E519" s="885"/>
      <c r="F519" s="825" t="str">
        <f>'ЦКС 2'!L35</f>
        <v>шт.</v>
      </c>
      <c r="G519" s="909">
        <f>'ЦКС 2'!M21</f>
        <v>2.0215633423180591E-2</v>
      </c>
      <c r="H519" s="909"/>
      <c r="I519" s="726">
        <f t="shared" si="35"/>
        <v>20</v>
      </c>
      <c r="J519" s="736">
        <f>'ЦКС 2'!C21</f>
        <v>0.40431266846361186</v>
      </c>
      <c r="K519" s="719"/>
    </row>
    <row r="520" spans="1:11" s="51" customFormat="1" x14ac:dyDescent="0.3">
      <c r="A520" s="825">
        <v>4</v>
      </c>
      <c r="B520" s="885" t="str">
        <f>'ЦКС 2'!A36</f>
        <v>ручка офисная</v>
      </c>
      <c r="C520" s="885"/>
      <c r="D520" s="885"/>
      <c r="E520" s="885"/>
      <c r="F520" s="825" t="str">
        <f>'ЦКС 2'!L36</f>
        <v>шт.</v>
      </c>
      <c r="G520" s="909">
        <f>'ЦКС 2'!M22</f>
        <v>1.3477088948787063E-2</v>
      </c>
      <c r="H520" s="909"/>
      <c r="I520" s="726">
        <f t="shared" si="35"/>
        <v>17</v>
      </c>
      <c r="J520" s="736">
        <f>'ЦКС 2'!C22</f>
        <v>0.22911051212938005</v>
      </c>
      <c r="K520" s="719"/>
    </row>
    <row r="521" spans="1:11" s="51" customFormat="1" x14ac:dyDescent="0.3">
      <c r="A521" s="825">
        <v>5</v>
      </c>
      <c r="B521" s="885" t="str">
        <f>'ЦКС 2'!A37</f>
        <v>карандаш</v>
      </c>
      <c r="C521" s="885"/>
      <c r="D521" s="885"/>
      <c r="E521" s="885"/>
      <c r="F521" s="825" t="str">
        <f>'ЦКС 2'!L37</f>
        <v>шт.</v>
      </c>
      <c r="G521" s="909">
        <f>'ЦКС 2'!M23</f>
        <v>2.2911051212938006E-2</v>
      </c>
      <c r="H521" s="909"/>
      <c r="I521" s="726">
        <f t="shared" si="35"/>
        <v>10</v>
      </c>
      <c r="J521" s="736">
        <f>'ЦКС 2'!C23</f>
        <v>0.22911051212938005</v>
      </c>
      <c r="K521" s="719"/>
    </row>
    <row r="522" spans="1:11" s="51" customFormat="1" x14ac:dyDescent="0.3">
      <c r="A522" s="825">
        <v>6</v>
      </c>
      <c r="B522" s="885" t="str">
        <f>'ЦКС 2'!A38</f>
        <v>клей</v>
      </c>
      <c r="C522" s="885"/>
      <c r="D522" s="885"/>
      <c r="E522" s="885"/>
      <c r="F522" s="825" t="str">
        <f>'ЦКС 2'!L38</f>
        <v>шт.</v>
      </c>
      <c r="G522" s="909">
        <f>'ЦКС 2'!M24</f>
        <v>6.7385444743935314E-3</v>
      </c>
      <c r="H522" s="909"/>
      <c r="I522" s="726">
        <f t="shared" si="35"/>
        <v>39.999999999999993</v>
      </c>
      <c r="J522" s="736">
        <f>'ЦКС 2'!C24</f>
        <v>0.26954177897574122</v>
      </c>
      <c r="K522" s="719"/>
    </row>
    <row r="523" spans="1:11" s="51" customFormat="1" x14ac:dyDescent="0.3">
      <c r="A523" s="825">
        <v>7</v>
      </c>
      <c r="B523" s="885" t="str">
        <f>'ЦКС 2'!A39</f>
        <v>бумажные стикеры для заметок</v>
      </c>
      <c r="C523" s="885"/>
      <c r="D523" s="885"/>
      <c r="E523" s="885"/>
      <c r="F523" s="825" t="str">
        <f>'ЦКС 2'!L39</f>
        <v>шт.</v>
      </c>
      <c r="G523" s="909">
        <f>'ЦКС 2'!M25</f>
        <v>6.7385444743935314E-3</v>
      </c>
      <c r="H523" s="909"/>
      <c r="I523" s="726">
        <f t="shared" si="35"/>
        <v>49.999999999999993</v>
      </c>
      <c r="J523" s="736">
        <f>'ЦКС 2'!C25</f>
        <v>0.33692722371967654</v>
      </c>
      <c r="K523" s="719"/>
    </row>
    <row r="524" spans="1:11" s="51" customFormat="1" ht="39.75" customHeight="1" x14ac:dyDescent="0.3">
      <c r="A524" s="825">
        <v>8</v>
      </c>
      <c r="B524" s="885" t="str">
        <f>'ЦКС 2'!A40</f>
        <v>расходы на полиграфическую продукцию</v>
      </c>
      <c r="C524" s="885"/>
      <c r="D524" s="885"/>
      <c r="E524" s="885"/>
      <c r="F524" s="825" t="str">
        <f>'ЦКС 2'!L40</f>
        <v>шт.</v>
      </c>
      <c r="G524" s="909">
        <f>'ЦКС 2'!M26</f>
        <v>6.7385444743935314E-3</v>
      </c>
      <c r="H524" s="909"/>
      <c r="I524" s="726">
        <f t="shared" si="35"/>
        <v>5100</v>
      </c>
      <c r="J524" s="736">
        <f>'ЦКС 2'!C26</f>
        <v>34.366576819407008</v>
      </c>
      <c r="K524" s="719"/>
    </row>
    <row r="525" spans="1:11" s="51" customFormat="1" ht="23.25" customHeight="1" x14ac:dyDescent="0.3">
      <c r="A525" s="884" t="s">
        <v>63</v>
      </c>
      <c r="B525" s="884"/>
      <c r="C525" s="884"/>
      <c r="D525" s="884"/>
      <c r="E525" s="884"/>
      <c r="F525" s="884"/>
      <c r="G525" s="884"/>
      <c r="H525" s="884"/>
      <c r="I525" s="884"/>
      <c r="J525" s="757">
        <f>J517+J518+J519+J520+J521+J522+J523+J524</f>
        <v>46.347708894878707</v>
      </c>
      <c r="K525" s="719"/>
    </row>
    <row r="526" spans="1:11" s="51" customFormat="1" ht="76.5" customHeight="1" x14ac:dyDescent="0.3">
      <c r="A526" s="1102" t="s">
        <v>16</v>
      </c>
      <c r="B526" s="1103"/>
      <c r="C526" s="1103"/>
      <c r="D526" s="1103"/>
      <c r="E526" s="1103"/>
      <c r="F526" s="1103"/>
      <c r="G526" s="1103"/>
      <c r="H526" s="1103"/>
      <c r="I526" s="1103"/>
      <c r="J526" s="1104"/>
      <c r="K526" s="719"/>
    </row>
    <row r="527" spans="1:11" s="51" customFormat="1" x14ac:dyDescent="0.3">
      <c r="A527" s="825"/>
      <c r="B527" s="884"/>
      <c r="C527" s="884"/>
      <c r="D527" s="884"/>
      <c r="E527" s="884"/>
      <c r="F527" s="825"/>
      <c r="G527" s="884"/>
      <c r="H527" s="884"/>
      <c r="I527" s="726"/>
      <c r="J527" s="736"/>
      <c r="K527" s="719"/>
    </row>
    <row r="528" spans="1:11" s="51" customFormat="1" x14ac:dyDescent="0.3">
      <c r="A528" s="825"/>
      <c r="B528" s="884"/>
      <c r="C528" s="884"/>
      <c r="D528" s="884"/>
      <c r="E528" s="884"/>
      <c r="F528" s="825"/>
      <c r="G528" s="884"/>
      <c r="H528" s="884"/>
      <c r="I528" s="726"/>
      <c r="J528" s="736"/>
      <c r="K528" s="719"/>
    </row>
    <row r="529" spans="1:11" s="51" customFormat="1" ht="28.5" customHeight="1" x14ac:dyDescent="0.3">
      <c r="A529" s="1096" t="s">
        <v>17</v>
      </c>
      <c r="B529" s="1097"/>
      <c r="C529" s="1097"/>
      <c r="D529" s="1097"/>
      <c r="E529" s="1097"/>
      <c r="F529" s="1097"/>
      <c r="G529" s="1097"/>
      <c r="H529" s="1097"/>
      <c r="I529" s="1097"/>
      <c r="J529" s="1098"/>
      <c r="K529" s="719"/>
    </row>
    <row r="530" spans="1:11" s="51" customFormat="1" x14ac:dyDescent="0.3">
      <c r="A530" s="896" t="s">
        <v>19</v>
      </c>
      <c r="B530" s="897"/>
      <c r="C530" s="897"/>
      <c r="D530" s="897"/>
      <c r="E530" s="897"/>
      <c r="F530" s="897"/>
      <c r="G530" s="897"/>
      <c r="H530" s="897"/>
      <c r="I530" s="898"/>
      <c r="J530" s="736"/>
      <c r="K530" s="719"/>
    </row>
    <row r="531" spans="1:11" s="51" customFormat="1" x14ac:dyDescent="0.3">
      <c r="A531" s="825">
        <v>1</v>
      </c>
      <c r="B531" s="885" t="str">
        <f>'ЦКС 3'!A27</f>
        <v>Административно-управленческий персонал</v>
      </c>
      <c r="C531" s="885"/>
      <c r="D531" s="885"/>
      <c r="E531" s="885"/>
      <c r="F531" s="826" t="s">
        <v>162</v>
      </c>
      <c r="G531" s="908">
        <f>'ЦКС 3'!O27</f>
        <v>0.44204851752021562</v>
      </c>
      <c r="H531" s="908"/>
      <c r="I531" s="726">
        <f>J531/G531</f>
        <v>476.37195121951225</v>
      </c>
      <c r="J531" s="736">
        <f>'ЦКС 3'!Q27</f>
        <v>210.57951482479785</v>
      </c>
      <c r="K531" s="719"/>
    </row>
    <row r="532" spans="1:11" s="51" customFormat="1" ht="24.75" customHeight="1" x14ac:dyDescent="0.3">
      <c r="A532" s="825">
        <v>2</v>
      </c>
      <c r="B532" s="885" t="str">
        <f>'ЦКС 3'!A28</f>
        <v>Прочий обслуживающий персонал</v>
      </c>
      <c r="C532" s="885"/>
      <c r="D532" s="885"/>
      <c r="E532" s="885"/>
      <c r="F532" s="826" t="s">
        <v>162</v>
      </c>
      <c r="G532" s="908">
        <f>'ЦКС 3'!O28</f>
        <v>13.703504043126685</v>
      </c>
      <c r="H532" s="908"/>
      <c r="I532" s="726">
        <f>J532/G532</f>
        <v>208.89710201940724</v>
      </c>
      <c r="J532" s="736">
        <f>'ЦКС 3'!Q28</f>
        <v>2862.6222821203946</v>
      </c>
      <c r="K532" s="719"/>
    </row>
    <row r="533" spans="1:11" s="51" customFormat="1" x14ac:dyDescent="0.3">
      <c r="A533" s="825"/>
      <c r="B533" s="1099" t="s">
        <v>63</v>
      </c>
      <c r="C533" s="1100"/>
      <c r="D533" s="1100"/>
      <c r="E533" s="1100"/>
      <c r="F533" s="1100"/>
      <c r="G533" s="1100"/>
      <c r="H533" s="1100"/>
      <c r="I533" s="1101"/>
      <c r="J533" s="736">
        <f>J531+J532</f>
        <v>3073.2017969451927</v>
      </c>
      <c r="K533" s="719"/>
    </row>
    <row r="534" spans="1:11" s="51" customFormat="1" ht="26.25" customHeight="1" x14ac:dyDescent="0.3">
      <c r="A534" s="1102" t="s">
        <v>20</v>
      </c>
      <c r="B534" s="1103"/>
      <c r="C534" s="1103"/>
      <c r="D534" s="1103"/>
      <c r="E534" s="1103"/>
      <c r="F534" s="1103"/>
      <c r="G534" s="1103"/>
      <c r="H534" s="1103"/>
      <c r="I534" s="1103"/>
      <c r="J534" s="1104"/>
      <c r="K534" s="719"/>
    </row>
    <row r="535" spans="1:11" s="51" customFormat="1" x14ac:dyDescent="0.3">
      <c r="A535" s="825">
        <v>1</v>
      </c>
      <c r="B535" s="885" t="str">
        <f>'ЦКС 3'!A6</f>
        <v>оплата потребления газа</v>
      </c>
      <c r="C535" s="885"/>
      <c r="D535" s="885"/>
      <c r="E535" s="885"/>
      <c r="F535" s="825" t="str">
        <f>'ЦКС 3'!U6</f>
        <v>м. куб</v>
      </c>
      <c r="G535" s="908">
        <f>'ЦКС 3'!O6</f>
        <v>3.3288409703504045E-2</v>
      </c>
      <c r="H535" s="908"/>
      <c r="I535" s="726">
        <f>J535/G535</f>
        <v>7152.5101214574897</v>
      </c>
      <c r="J535" s="736">
        <f>'ЦКС 3'!Q6</f>
        <v>238.0956873315364</v>
      </c>
      <c r="K535" s="719"/>
    </row>
    <row r="536" spans="1:11" s="51" customFormat="1" x14ac:dyDescent="0.3">
      <c r="A536" s="825">
        <v>2</v>
      </c>
      <c r="B536" s="885" t="str">
        <f>'ЦКС 3'!A7</f>
        <v>оплата потребления электрической энергии</v>
      </c>
      <c r="C536" s="885"/>
      <c r="D536" s="885"/>
      <c r="E536" s="885"/>
      <c r="F536" s="825" t="str">
        <f>'ЦКС 3'!U7</f>
        <v>Квт/ч</v>
      </c>
      <c r="G536" s="908">
        <f>'ЦКС 3'!O7</f>
        <v>18.611859838274931</v>
      </c>
      <c r="H536" s="908"/>
      <c r="I536" s="726">
        <f t="shared" ref="I536:I537" si="36">J536/G536</f>
        <v>7.7118030412744387</v>
      </c>
      <c r="J536" s="736">
        <f>'ЦКС 3'!Q7</f>
        <v>143.5309973045822</v>
      </c>
      <c r="K536" s="719"/>
    </row>
    <row r="537" spans="1:11" s="51" customFormat="1" x14ac:dyDescent="0.3">
      <c r="A537" s="825">
        <v>3</v>
      </c>
      <c r="B537" s="885" t="str">
        <f>'ЦКС 3'!A8</f>
        <v>оплата потребления водоснабжения</v>
      </c>
      <c r="C537" s="885"/>
      <c r="D537" s="885"/>
      <c r="E537" s="885"/>
      <c r="F537" s="825" t="str">
        <f>'ЦКС 3'!U8</f>
        <v>м. куб</v>
      </c>
      <c r="G537" s="908">
        <f>'ЦКС 3'!O8</f>
        <v>0.16846361185983827</v>
      </c>
      <c r="H537" s="908"/>
      <c r="I537" s="726">
        <f t="shared" si="36"/>
        <v>106.68</v>
      </c>
      <c r="J537" s="736">
        <f>'ЦКС 3'!Q8</f>
        <v>17.971698113207548</v>
      </c>
      <c r="K537" s="719"/>
    </row>
    <row r="538" spans="1:11" s="51" customFormat="1" x14ac:dyDescent="0.3">
      <c r="A538" s="825"/>
      <c r="B538" s="1099" t="s">
        <v>63</v>
      </c>
      <c r="C538" s="1100"/>
      <c r="D538" s="1100"/>
      <c r="E538" s="1100"/>
      <c r="F538" s="1100"/>
      <c r="G538" s="1100"/>
      <c r="H538" s="1100"/>
      <c r="I538" s="1101"/>
      <c r="J538" s="736">
        <f>J535+J536+J537</f>
        <v>399.59838274932616</v>
      </c>
      <c r="K538" s="719"/>
    </row>
    <row r="539" spans="1:11" s="51" customFormat="1" ht="49.5" customHeight="1" x14ac:dyDescent="0.3">
      <c r="A539" s="1096" t="s">
        <v>21</v>
      </c>
      <c r="B539" s="1097"/>
      <c r="C539" s="1097"/>
      <c r="D539" s="1097"/>
      <c r="E539" s="1097"/>
      <c r="F539" s="1097"/>
      <c r="G539" s="1097"/>
      <c r="H539" s="1097"/>
      <c r="I539" s="1097"/>
      <c r="J539" s="1098"/>
      <c r="K539" s="719"/>
    </row>
    <row r="540" spans="1:11" s="51" customFormat="1" ht="151.5" customHeight="1" x14ac:dyDescent="0.3">
      <c r="A540" s="825">
        <v>1</v>
      </c>
      <c r="B540" s="885" t="str">
        <f>'ЦКС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540" s="885"/>
      <c r="D540" s="885"/>
      <c r="E540" s="885"/>
      <c r="F540" s="825" t="str">
        <f>'ЦКС 3'!U11</f>
        <v>договор</v>
      </c>
      <c r="G540" s="911">
        <f>'ЦКС 3'!O11</f>
        <v>1.25E-3</v>
      </c>
      <c r="H540" s="911"/>
      <c r="I540" s="726">
        <f>J540/G540</f>
        <v>21563.342318059298</v>
      </c>
      <c r="J540" s="736">
        <f>'ЦКС 3'!Q11</f>
        <v>26.954177897574123</v>
      </c>
      <c r="K540" s="719"/>
    </row>
    <row r="541" spans="1:11" s="51" customFormat="1" ht="68.25" customHeight="1" x14ac:dyDescent="0.3">
      <c r="A541" s="825">
        <v>2</v>
      </c>
      <c r="B541" s="885" t="str">
        <f>'ЦКС 3'!A12</f>
        <v>Реагирование на соообщения о срабатывании тревожной сигнализации</v>
      </c>
      <c r="C541" s="885"/>
      <c r="D541" s="885"/>
      <c r="E541" s="885"/>
      <c r="F541" s="825" t="str">
        <f>'ЦКС 3'!U12</f>
        <v>договор</v>
      </c>
      <c r="G541" s="911">
        <f>'ЦКС 3'!O12</f>
        <v>1.25E-3</v>
      </c>
      <c r="H541" s="911"/>
      <c r="I541" s="726">
        <f t="shared" ref="I541:I545" si="37">J541/G541</f>
        <v>23360.646900269541</v>
      </c>
      <c r="J541" s="736">
        <f>'ЦКС 3'!Q12</f>
        <v>29.200808625336926</v>
      </c>
      <c r="K541" s="719"/>
    </row>
    <row r="542" spans="1:11" s="51" customFormat="1" ht="39" customHeight="1" x14ac:dyDescent="0.3">
      <c r="A542" s="825">
        <v>3</v>
      </c>
      <c r="B542" s="885" t="str">
        <f>'ЦКС 3'!A13</f>
        <v>Тех обслуживание сети газораспределения</v>
      </c>
      <c r="C542" s="885"/>
      <c r="D542" s="885"/>
      <c r="E542" s="885"/>
      <c r="F542" s="825" t="str">
        <f>'ЦКС 3'!U13</f>
        <v>договор</v>
      </c>
      <c r="G542" s="911">
        <f>'ЦКС 3'!O13</f>
        <v>1.25E-3</v>
      </c>
      <c r="H542" s="911"/>
      <c r="I542" s="726">
        <f t="shared" si="37"/>
        <v>16172.506738544473</v>
      </c>
      <c r="J542" s="736">
        <f>'ЦКС 3'!Q13</f>
        <v>20.215633423180591</v>
      </c>
      <c r="K542" s="719"/>
    </row>
    <row r="543" spans="1:11" s="51" customFormat="1" ht="48" hidden="1" customHeight="1" x14ac:dyDescent="0.3">
      <c r="A543" s="825">
        <v>4</v>
      </c>
      <c r="B543" s="885" t="str">
        <f>'ЦКС 3'!A15</f>
        <v>Вывоз твердых бытовых отходов, утилизация отходов</v>
      </c>
      <c r="C543" s="885"/>
      <c r="D543" s="885"/>
      <c r="E543" s="885"/>
      <c r="F543" s="825" t="str">
        <f>'ЦКС 3'!U15</f>
        <v>договор</v>
      </c>
      <c r="G543" s="911">
        <f>'ЦКС 3'!O14</f>
        <v>0</v>
      </c>
      <c r="H543" s="911"/>
      <c r="I543" s="726" t="e">
        <f t="shared" si="37"/>
        <v>#DIV/0!</v>
      </c>
      <c r="J543" s="736">
        <f>'ЦКС 3'!Q14</f>
        <v>0</v>
      </c>
      <c r="K543" s="719"/>
    </row>
    <row r="544" spans="1:11" s="51" customFormat="1" ht="41.25" customHeight="1" x14ac:dyDescent="0.3">
      <c r="A544" s="825">
        <v>4</v>
      </c>
      <c r="B544" s="885" t="str">
        <f>'ЦКС 3'!A15</f>
        <v>Вывоз твердых бытовых отходов, утилизация отходов</v>
      </c>
      <c r="C544" s="885"/>
      <c r="D544" s="885"/>
      <c r="E544" s="885"/>
      <c r="F544" s="825" t="str">
        <f>'ЦКС 3'!U15</f>
        <v>договор</v>
      </c>
      <c r="G544" s="911">
        <f>'ЦКС 3'!O15</f>
        <v>1.25E-3</v>
      </c>
      <c r="H544" s="911"/>
      <c r="I544" s="726">
        <f t="shared" si="37"/>
        <v>8118.5983827493255</v>
      </c>
      <c r="J544" s="736">
        <f>'ЦКС 3'!Q15</f>
        <v>10.148247978436657</v>
      </c>
      <c r="K544" s="719"/>
    </row>
    <row r="545" spans="1:11" s="51" customFormat="1" x14ac:dyDescent="0.3">
      <c r="A545" s="825">
        <v>5</v>
      </c>
      <c r="B545" s="884" t="str">
        <f>'ЦКС 3'!A16</f>
        <v>Прочие расходы на содержание объектов недвижимого имущества</v>
      </c>
      <c r="C545" s="884"/>
      <c r="D545" s="884"/>
      <c r="E545" s="884"/>
      <c r="F545" s="825" t="s">
        <v>82</v>
      </c>
      <c r="G545" s="911">
        <f>'ЦКС 3'!O16</f>
        <v>2.5000000000000001E-3</v>
      </c>
      <c r="H545" s="911"/>
      <c r="I545" s="726">
        <f t="shared" si="37"/>
        <v>54276.549865229106</v>
      </c>
      <c r="J545" s="736">
        <f>'ЦКС 3'!Q16</f>
        <v>135.69137466307276</v>
      </c>
      <c r="K545" s="719"/>
    </row>
    <row r="546" spans="1:11" s="51" customFormat="1" x14ac:dyDescent="0.3">
      <c r="A546" s="825"/>
      <c r="B546" s="1099" t="s">
        <v>63</v>
      </c>
      <c r="C546" s="1100"/>
      <c r="D546" s="1100"/>
      <c r="E546" s="1100"/>
      <c r="F546" s="1100"/>
      <c r="G546" s="1100"/>
      <c r="H546" s="1100"/>
      <c r="I546" s="1101"/>
      <c r="J546" s="736">
        <f>J540+J541+J542+J543+J544+J545</f>
        <v>222.21024258760104</v>
      </c>
      <c r="K546" s="719"/>
    </row>
    <row r="547" spans="1:11" s="51" customFormat="1" ht="18.75" customHeight="1" x14ac:dyDescent="0.3">
      <c r="A547" s="1102" t="s">
        <v>22</v>
      </c>
      <c r="B547" s="1103"/>
      <c r="C547" s="1103"/>
      <c r="D547" s="1103"/>
      <c r="E547" s="1103"/>
      <c r="F547" s="1103"/>
      <c r="G547" s="1103"/>
      <c r="H547" s="1103"/>
      <c r="I547" s="1103"/>
      <c r="J547" s="1104"/>
      <c r="K547" s="719"/>
    </row>
    <row r="548" spans="1:11" s="51" customFormat="1" x14ac:dyDescent="0.3">
      <c r="A548" s="825">
        <v>1</v>
      </c>
      <c r="B548" s="885" t="str">
        <f>'ЦКС 3'!A23</f>
        <v>интернет</v>
      </c>
      <c r="C548" s="885"/>
      <c r="D548" s="885"/>
      <c r="E548" s="885"/>
      <c r="F548" s="825" t="str">
        <f>'ЦКС 3'!U23</f>
        <v>Гб</v>
      </c>
      <c r="G548" s="908">
        <f>'ЦКС 3'!O23</f>
        <v>0.45013477088948789</v>
      </c>
      <c r="H548" s="908"/>
      <c r="I548" s="726">
        <f>J548/G548</f>
        <v>49.901197604790418</v>
      </c>
      <c r="J548" s="736">
        <f>'ЦКС 3'!Q23</f>
        <v>22.462264150943398</v>
      </c>
      <c r="K548" s="719"/>
    </row>
    <row r="549" spans="1:11" s="51" customFormat="1" x14ac:dyDescent="0.3">
      <c r="A549" s="825">
        <v>2</v>
      </c>
      <c r="B549" s="885" t="str">
        <f>'ЦКС 3'!A24</f>
        <v>услуги связи</v>
      </c>
      <c r="C549" s="885"/>
      <c r="D549" s="885"/>
      <c r="E549" s="885"/>
      <c r="F549" s="825" t="str">
        <f>'ЦКС 3'!U24</f>
        <v>мин.</v>
      </c>
      <c r="G549" s="908">
        <f>'ЦКС 3'!O24</f>
        <v>0.88948787061994605</v>
      </c>
      <c r="H549" s="908"/>
      <c r="I549" s="726">
        <f>J549/G549</f>
        <v>10.101515151515152</v>
      </c>
      <c r="J549" s="736">
        <f>'ЦКС 3'!Q24</f>
        <v>8.9851752021563343</v>
      </c>
      <c r="K549" s="719"/>
    </row>
    <row r="550" spans="1:11" s="51" customFormat="1" x14ac:dyDescent="0.3">
      <c r="A550" s="825"/>
      <c r="B550" s="1099" t="s">
        <v>63</v>
      </c>
      <c r="C550" s="1100"/>
      <c r="D550" s="1100"/>
      <c r="E550" s="1100"/>
      <c r="F550" s="1100"/>
      <c r="G550" s="1100"/>
      <c r="H550" s="1100"/>
      <c r="I550" s="1101"/>
      <c r="J550" s="736">
        <f>J548+J549</f>
        <v>31.447439353099732</v>
      </c>
      <c r="K550" s="719"/>
    </row>
    <row r="551" spans="1:11" s="51" customFormat="1" ht="18.75" customHeight="1" x14ac:dyDescent="0.3">
      <c r="A551" s="1102" t="s">
        <v>23</v>
      </c>
      <c r="B551" s="1103"/>
      <c r="C551" s="1103"/>
      <c r="D551" s="1103"/>
      <c r="E551" s="1103"/>
      <c r="F551" s="1103"/>
      <c r="G551" s="1103"/>
      <c r="H551" s="1103"/>
      <c r="I551" s="1103"/>
      <c r="J551" s="1104"/>
      <c r="K551" s="719"/>
    </row>
    <row r="552" spans="1:11" s="51" customFormat="1" x14ac:dyDescent="0.3">
      <c r="A552" s="825">
        <v>1</v>
      </c>
      <c r="B552" s="885" t="str">
        <f>'ЦКС 3'!A19</f>
        <v>ГСМ</v>
      </c>
      <c r="C552" s="885"/>
      <c r="D552" s="885"/>
      <c r="E552" s="885"/>
      <c r="F552" s="825" t="str">
        <f>'ЦКС 3'!U19</f>
        <v>л.</v>
      </c>
      <c r="G552" s="911">
        <f>'ЦКС 3'!O19</f>
        <v>1.8059299191374663</v>
      </c>
      <c r="H552" s="911"/>
      <c r="I552" s="726">
        <f>J552/G552</f>
        <v>49.751492537313432</v>
      </c>
      <c r="J552" s="736">
        <f>'ЦКС 3'!Q19</f>
        <v>89.847708894878707</v>
      </c>
      <c r="K552" s="719"/>
    </row>
    <row r="553" spans="1:11" s="51" customFormat="1" ht="38.25" customHeight="1" x14ac:dyDescent="0.3">
      <c r="A553" s="825">
        <v>2</v>
      </c>
      <c r="B553" s="885" t="str">
        <f>'ЦКС 3'!A20</f>
        <v>Техническое обслуживание и ремонтов автотранспорта</v>
      </c>
      <c r="C553" s="885"/>
      <c r="D553" s="885"/>
      <c r="E553" s="885"/>
      <c r="F553" s="825" t="str">
        <f>'ЦКС 3'!U20</f>
        <v>договор</v>
      </c>
      <c r="G553" s="911">
        <f>'ЦКС 3'!O20</f>
        <v>1.3477088948787063E-3</v>
      </c>
      <c r="H553" s="911"/>
      <c r="I553" s="726">
        <f t="shared" ref="I553:I560" si="38">J553/G553</f>
        <v>208390.99999999997</v>
      </c>
      <c r="J553" s="736">
        <f>'ЦКС 3'!Q20</f>
        <v>280.85040431266845</v>
      </c>
      <c r="K553" s="719"/>
    </row>
    <row r="554" spans="1:11" s="51" customFormat="1" ht="24" customHeight="1" x14ac:dyDescent="0.3">
      <c r="A554" s="825">
        <v>3</v>
      </c>
      <c r="B554" s="885" t="str">
        <f>'ЦКС 3'!A31</f>
        <v>Медицинский осмотр</v>
      </c>
      <c r="C554" s="885"/>
      <c r="D554" s="885"/>
      <c r="E554" s="885"/>
      <c r="F554" s="825" t="str">
        <f>'ЦКС 3'!U31</f>
        <v>договор</v>
      </c>
      <c r="G554" s="911">
        <f>'ЦКС 3'!O31</f>
        <v>1.25E-3</v>
      </c>
      <c r="H554" s="911"/>
      <c r="I554" s="726">
        <f t="shared" si="38"/>
        <v>10781.671159029649</v>
      </c>
      <c r="J554" s="736">
        <f>'ЦКС 3'!Q31</f>
        <v>13.477088948787062</v>
      </c>
      <c r="K554" s="719"/>
    </row>
    <row r="555" spans="1:11" s="51" customFormat="1" ht="96" customHeight="1" x14ac:dyDescent="0.3">
      <c r="A555" s="825">
        <v>4</v>
      </c>
      <c r="B555" s="885" t="str">
        <f>'ЦКС 3'!A32</f>
        <v>Производственный контроль, аккарицидная обработка, дератизация, дезинфекция и пр. санитарно-гигиенические меропориятия</v>
      </c>
      <c r="C555" s="885"/>
      <c r="D555" s="885"/>
      <c r="E555" s="885"/>
      <c r="F555" s="825" t="str">
        <f>'ЦКС 3'!U32</f>
        <v>договор</v>
      </c>
      <c r="G555" s="911">
        <f>'ЦКС 3'!O32</f>
        <v>1.25E-3</v>
      </c>
      <c r="H555" s="911"/>
      <c r="I555" s="726">
        <f t="shared" si="38"/>
        <v>10781.671159029649</v>
      </c>
      <c r="J555" s="736">
        <f>'ЦКС 3'!Q32</f>
        <v>13.477088948787062</v>
      </c>
      <c r="K555" s="719"/>
    </row>
    <row r="556" spans="1:11" s="51" customFormat="1" ht="60" customHeight="1" x14ac:dyDescent="0.3">
      <c r="A556" s="825">
        <v>5</v>
      </c>
      <c r="B556" s="885" t="str">
        <f>'ЦКС 3'!A33</f>
        <v>Обучение персонала (электро, тепло, газовое хозяйство, пожарная безопасность, охрана труда и др.)</v>
      </c>
      <c r="C556" s="885"/>
      <c r="D556" s="885"/>
      <c r="E556" s="885"/>
      <c r="F556" s="825" t="str">
        <f>'ЦКС 3'!U33</f>
        <v>договор</v>
      </c>
      <c r="G556" s="911">
        <f>'ЦКС 3'!O33</f>
        <v>1.25E-3</v>
      </c>
      <c r="H556" s="911"/>
      <c r="I556" s="726">
        <f t="shared" si="38"/>
        <v>8985.4447439353098</v>
      </c>
      <c r="J556" s="736">
        <f>'ЦКС 3'!Q33</f>
        <v>11.231805929919137</v>
      </c>
      <c r="K556" s="719"/>
    </row>
    <row r="557" spans="1:11" s="51" customFormat="1" ht="51" customHeight="1" x14ac:dyDescent="0.3">
      <c r="A557" s="825">
        <v>6</v>
      </c>
      <c r="B557" s="885" t="str">
        <f>'ЦКС 3'!A34</f>
        <v>Обслуживание программных комплексов</v>
      </c>
      <c r="C557" s="885"/>
      <c r="D557" s="885"/>
      <c r="E557" s="885"/>
      <c r="F557" s="825" t="str">
        <f>'ЦКС 3'!U34</f>
        <v>договор</v>
      </c>
      <c r="G557" s="911">
        <f>'ЦКС 3'!O34</f>
        <v>1.25E-3</v>
      </c>
      <c r="H557" s="911"/>
      <c r="I557" s="726">
        <f t="shared" si="38"/>
        <v>8985.4447439353098</v>
      </c>
      <c r="J557" s="736">
        <f>'ЦКС 3'!Q34</f>
        <v>11.231805929919137</v>
      </c>
      <c r="K557" s="719"/>
    </row>
    <row r="558" spans="1:11" s="51" customFormat="1" ht="18.75" hidden="1" customHeight="1" x14ac:dyDescent="0.3">
      <c r="A558" s="825">
        <v>7</v>
      </c>
      <c r="B558" s="885" t="str">
        <f>'ЦКС 3'!A35</f>
        <v>Специальная оценка условий труда</v>
      </c>
      <c r="C558" s="885"/>
      <c r="D558" s="885"/>
      <c r="E558" s="885"/>
      <c r="F558" s="825" t="str">
        <f>'ЦКС 3'!U35</f>
        <v>чел.</v>
      </c>
      <c r="G558" s="911">
        <f>'ЦКС 3'!O35</f>
        <v>0</v>
      </c>
      <c r="H558" s="911"/>
      <c r="I558" s="726" t="e">
        <f t="shared" si="38"/>
        <v>#DIV/0!</v>
      </c>
      <c r="J558" s="736">
        <f>'ЦКС 3'!Q35</f>
        <v>0</v>
      </c>
      <c r="K558" s="719"/>
    </row>
    <row r="559" spans="1:11" s="51" customFormat="1" ht="18.75" hidden="1" customHeight="1" x14ac:dyDescent="0.3">
      <c r="A559" s="735">
        <v>8</v>
      </c>
      <c r="B559" s="885" t="str">
        <f>'ЦКС 3'!A36</f>
        <v>Страховое особо опасных объектов</v>
      </c>
      <c r="C559" s="885"/>
      <c r="D559" s="885"/>
      <c r="E559" s="885"/>
      <c r="F559" s="825" t="str">
        <f>'ЦКС 3'!U36</f>
        <v>договор</v>
      </c>
      <c r="G559" s="911">
        <f>'ЦКС 3'!O36</f>
        <v>1.25E-3</v>
      </c>
      <c r="H559" s="911"/>
      <c r="I559" s="726">
        <f t="shared" si="38"/>
        <v>0</v>
      </c>
      <c r="J559" s="736">
        <f>'ЦКС 3'!Q36</f>
        <v>0</v>
      </c>
      <c r="K559" s="719"/>
    </row>
    <row r="560" spans="1:11" s="51" customFormat="1" ht="42" customHeight="1" x14ac:dyDescent="0.3">
      <c r="A560" s="735">
        <v>7</v>
      </c>
      <c r="B560" s="885" t="str">
        <f>'ЦКС 3'!A37</f>
        <v>Проверка и ремонт измерительных приборов</v>
      </c>
      <c r="C560" s="885"/>
      <c r="D560" s="885"/>
      <c r="E560" s="885"/>
      <c r="F560" s="825" t="str">
        <f>'ЦКС 3'!U37</f>
        <v>договор</v>
      </c>
      <c r="G560" s="911">
        <f>'ЦКС 3'!O37</f>
        <v>1.25E-3</v>
      </c>
      <c r="H560" s="911"/>
      <c r="I560" s="726">
        <f t="shared" si="38"/>
        <v>21563.342318059298</v>
      </c>
      <c r="J560" s="736">
        <f>'ЦКС 3'!Q37</f>
        <v>26.954177897574123</v>
      </c>
      <c r="K560" s="719"/>
    </row>
    <row r="561" spans="1:16" s="51" customFormat="1" x14ac:dyDescent="0.3">
      <c r="A561" s="734"/>
      <c r="B561" s="1099" t="s">
        <v>63</v>
      </c>
      <c r="C561" s="1100"/>
      <c r="D561" s="1100"/>
      <c r="E561" s="1100"/>
      <c r="F561" s="1100"/>
      <c r="G561" s="1100"/>
      <c r="H561" s="1100"/>
      <c r="I561" s="1101"/>
      <c r="J561" s="736">
        <f>J552+J553+J554+J555+J556+J557+J560</f>
        <v>447.0700808625337</v>
      </c>
      <c r="K561" s="719"/>
    </row>
    <row r="562" spans="1:16" s="51" customFormat="1" x14ac:dyDescent="0.3">
      <c r="A562" s="734"/>
      <c r="B562" s="888" t="s">
        <v>69</v>
      </c>
      <c r="C562" s="1107"/>
      <c r="D562" s="1107"/>
      <c r="E562" s="1107"/>
      <c r="F562" s="1107"/>
      <c r="G562" s="1107"/>
      <c r="H562" s="1107"/>
      <c r="I562" s="889"/>
      <c r="J562" s="736">
        <f>J515+J525+J533+J538+J546+J550+J561</f>
        <v>8615.0907457322555</v>
      </c>
      <c r="K562" s="725">
        <f>J562*742</f>
        <v>6392397.333333334</v>
      </c>
      <c r="P562" s="69">
        <f>K413+K487+K562</f>
        <v>19177150</v>
      </c>
    </row>
    <row r="563" spans="1:16" s="51" customFormat="1" x14ac:dyDescent="0.3">
      <c r="A563" s="719"/>
      <c r="B563" s="719"/>
      <c r="C563" s="719"/>
      <c r="D563" s="719"/>
      <c r="E563" s="719"/>
      <c r="F563" s="719"/>
      <c r="G563" s="719"/>
      <c r="H563" s="719"/>
      <c r="I563" s="725"/>
      <c r="J563" s="725"/>
      <c r="K563" s="725"/>
    </row>
    <row r="564" spans="1:16" s="51" customFormat="1" x14ac:dyDescent="0.3">
      <c r="A564" s="719"/>
      <c r="B564" s="719"/>
      <c r="C564" s="719"/>
      <c r="D564" s="719"/>
      <c r="E564" s="719"/>
      <c r="F564" s="719"/>
      <c r="G564" s="719"/>
      <c r="H564" s="719"/>
      <c r="I564" s="725"/>
      <c r="J564" s="725"/>
      <c r="K564" s="725"/>
    </row>
    <row r="565" spans="1:16" s="51" customFormat="1" x14ac:dyDescent="0.3">
      <c r="A565" s="719"/>
      <c r="B565" s="719"/>
      <c r="C565" s="719"/>
      <c r="D565" s="719"/>
      <c r="E565" s="719"/>
      <c r="F565" s="719"/>
      <c r="G565" s="719"/>
      <c r="H565" s="719"/>
      <c r="I565" s="725"/>
      <c r="J565" s="725"/>
      <c r="K565" s="719"/>
    </row>
    <row r="566" spans="1:16" s="51" customFormat="1" x14ac:dyDescent="0.3">
      <c r="A566" s="719"/>
      <c r="B566" s="719"/>
      <c r="C566" s="719"/>
      <c r="D566" s="719"/>
      <c r="E566" s="719"/>
      <c r="F566" s="719"/>
      <c r="G566" s="719"/>
      <c r="H566" s="719"/>
      <c r="I566" s="725"/>
      <c r="J566" s="725"/>
      <c r="K566" s="719"/>
    </row>
    <row r="567" spans="1:16" s="51" customFormat="1" x14ac:dyDescent="0.3">
      <c r="A567" s="719"/>
      <c r="B567" s="719"/>
      <c r="C567" s="719"/>
      <c r="D567" s="719"/>
      <c r="E567" s="719"/>
      <c r="F567" s="719"/>
      <c r="G567" s="719"/>
      <c r="H567" s="719"/>
      <c r="I567" s="725"/>
      <c r="J567" s="725"/>
      <c r="K567" s="719"/>
    </row>
    <row r="568" spans="1:16" s="51" customFormat="1" x14ac:dyDescent="0.3">
      <c r="A568" s="719"/>
      <c r="B568" s="719"/>
      <c r="C568" s="719"/>
      <c r="D568" s="719"/>
      <c r="E568" s="719"/>
      <c r="F568" s="719"/>
      <c r="G568" s="719"/>
      <c r="H568" s="719"/>
      <c r="I568" s="725"/>
      <c r="J568" s="725"/>
      <c r="K568" s="719"/>
    </row>
    <row r="569" spans="1:16" s="51" customFormat="1" x14ac:dyDescent="0.3">
      <c r="A569" s="719"/>
      <c r="B569" s="719"/>
      <c r="C569" s="719"/>
      <c r="D569" s="719"/>
      <c r="E569" s="719"/>
      <c r="F569" s="719"/>
      <c r="G569" s="719"/>
      <c r="H569" s="719"/>
      <c r="I569" s="725"/>
      <c r="J569" s="725"/>
      <c r="K569" s="719"/>
    </row>
    <row r="570" spans="1:16" s="51" customFormat="1" x14ac:dyDescent="0.3">
      <c r="A570" s="719"/>
      <c r="B570" s="719"/>
      <c r="C570" s="719"/>
      <c r="D570" s="719"/>
      <c r="E570" s="719"/>
      <c r="F570" s="719"/>
      <c r="G570" s="719"/>
      <c r="H570" s="719"/>
      <c r="I570" s="725"/>
      <c r="J570" s="725"/>
      <c r="K570" s="719"/>
    </row>
    <row r="571" spans="1:16" s="51" customFormat="1" x14ac:dyDescent="0.3">
      <c r="A571" s="719"/>
      <c r="B571" s="719"/>
      <c r="C571" s="719"/>
      <c r="D571" s="719"/>
      <c r="E571" s="719"/>
      <c r="F571" s="719"/>
      <c r="G571" s="719"/>
      <c r="H571" s="719"/>
      <c r="I571" s="725"/>
      <c r="J571" s="725"/>
      <c r="K571" s="719"/>
    </row>
  </sheetData>
  <mergeCells count="886">
    <mergeCell ref="A551:J551"/>
    <mergeCell ref="B533:I533"/>
    <mergeCell ref="B538:I538"/>
    <mergeCell ref="B546:I546"/>
    <mergeCell ref="B550:I550"/>
    <mergeCell ref="B561:I561"/>
    <mergeCell ref="B376:H376"/>
    <mergeCell ref="B384:I384"/>
    <mergeCell ref="B389:I389"/>
    <mergeCell ref="B397:I397"/>
    <mergeCell ref="B401:I401"/>
    <mergeCell ref="B412:I412"/>
    <mergeCell ref="B413:I413"/>
    <mergeCell ref="B487:I487"/>
    <mergeCell ref="B382:E382"/>
    <mergeCell ref="G382:H382"/>
    <mergeCell ref="B383:E383"/>
    <mergeCell ref="G383:H383"/>
    <mergeCell ref="B388:E388"/>
    <mergeCell ref="G388:H388"/>
    <mergeCell ref="B391:E391"/>
    <mergeCell ref="G391:H391"/>
    <mergeCell ref="B386:E386"/>
    <mergeCell ref="G386:H386"/>
    <mergeCell ref="B562:I562"/>
    <mergeCell ref="B238:I238"/>
    <mergeCell ref="M245:O245"/>
    <mergeCell ref="B255:E255"/>
    <mergeCell ref="G255:H255"/>
    <mergeCell ref="B285:I285"/>
    <mergeCell ref="B290:I290"/>
    <mergeCell ref="M298:O298"/>
    <mergeCell ref="A292:J292"/>
    <mergeCell ref="A293:J293"/>
    <mergeCell ref="A294:J294"/>
    <mergeCell ref="A295:J295"/>
    <mergeCell ref="A296:J296"/>
    <mergeCell ref="A297:J297"/>
    <mergeCell ref="B254:E254"/>
    <mergeCell ref="G254:H254"/>
    <mergeCell ref="A256:I256"/>
    <mergeCell ref="B257:E257"/>
    <mergeCell ref="G257:H257"/>
    <mergeCell ref="B258:E258"/>
    <mergeCell ref="G258:H258"/>
    <mergeCell ref="A250:I250"/>
    <mergeCell ref="B251:E251"/>
    <mergeCell ref="G251:H251"/>
    <mergeCell ref="M187:O187"/>
    <mergeCell ref="A191:J191"/>
    <mergeCell ref="A192:J192"/>
    <mergeCell ref="A201:J201"/>
    <mergeCell ref="A208:J208"/>
    <mergeCell ref="A211:J211"/>
    <mergeCell ref="A216:J216"/>
    <mergeCell ref="A221:J221"/>
    <mergeCell ref="A229:J229"/>
    <mergeCell ref="A187:J187"/>
    <mergeCell ref="B210:I210"/>
    <mergeCell ref="B207:I207"/>
    <mergeCell ref="B215:I215"/>
    <mergeCell ref="B220:I220"/>
    <mergeCell ref="B228:I228"/>
    <mergeCell ref="B197:E197"/>
    <mergeCell ref="G197:H197"/>
    <mergeCell ref="B198:E198"/>
    <mergeCell ref="G198:H198"/>
    <mergeCell ref="B199:E199"/>
    <mergeCell ref="G199:H199"/>
    <mergeCell ref="B194:E194"/>
    <mergeCell ref="G194:H194"/>
    <mergeCell ref="B195:E195"/>
    <mergeCell ref="L129:N129"/>
    <mergeCell ref="B145:I145"/>
    <mergeCell ref="B153:I153"/>
    <mergeCell ref="B158:I158"/>
    <mergeCell ref="B165:I165"/>
    <mergeCell ref="B169:I169"/>
    <mergeCell ref="B176:E176"/>
    <mergeCell ref="G176:H176"/>
    <mergeCell ref="B177:E177"/>
    <mergeCell ref="G177:H177"/>
    <mergeCell ref="B130:E130"/>
    <mergeCell ref="G130:H130"/>
    <mergeCell ref="B131:E131"/>
    <mergeCell ref="G131:H131"/>
    <mergeCell ref="A132:J132"/>
    <mergeCell ref="B139:E139"/>
    <mergeCell ref="G139:H139"/>
    <mergeCell ref="B143:E143"/>
    <mergeCell ref="G143:H143"/>
    <mergeCell ref="B144:E144"/>
    <mergeCell ref="G144:H144"/>
    <mergeCell ref="B147:E147"/>
    <mergeCell ref="G147:H147"/>
    <mergeCell ref="B140:E140"/>
    <mergeCell ref="B99:I99"/>
    <mergeCell ref="B111:I111"/>
    <mergeCell ref="B85:I85"/>
    <mergeCell ref="B120:I120"/>
    <mergeCell ref="B121:I121"/>
    <mergeCell ref="L69:N69"/>
    <mergeCell ref="B13:E13"/>
    <mergeCell ref="G13:H13"/>
    <mergeCell ref="B15:E15"/>
    <mergeCell ref="G15:H15"/>
    <mergeCell ref="B16:E16"/>
    <mergeCell ref="G16:H16"/>
    <mergeCell ref="A14:J14"/>
    <mergeCell ref="B20:E20"/>
    <mergeCell ref="G20:H20"/>
    <mergeCell ref="B21:E21"/>
    <mergeCell ref="B17:E17"/>
    <mergeCell ref="G17:H17"/>
    <mergeCell ref="B18:E18"/>
    <mergeCell ref="G18:H18"/>
    <mergeCell ref="B19:E19"/>
    <mergeCell ref="G19:H19"/>
    <mergeCell ref="B24:E24"/>
    <mergeCell ref="G24:H24"/>
    <mergeCell ref="L6:N6"/>
    <mergeCell ref="B8:E8"/>
    <mergeCell ref="G8:H8"/>
    <mergeCell ref="B9:E9"/>
    <mergeCell ref="G9:H9"/>
    <mergeCell ref="A11:I11"/>
    <mergeCell ref="B12:E12"/>
    <mergeCell ref="G12:H12"/>
    <mergeCell ref="B23:E23"/>
    <mergeCell ref="G23:H23"/>
    <mergeCell ref="A25:I25"/>
    <mergeCell ref="B27:E27"/>
    <mergeCell ref="G27:H27"/>
    <mergeCell ref="A26:J26"/>
    <mergeCell ref="G21:H21"/>
    <mergeCell ref="B22:E22"/>
    <mergeCell ref="G22:H22"/>
    <mergeCell ref="A35:J35"/>
    <mergeCell ref="B32:E32"/>
    <mergeCell ref="G32:H32"/>
    <mergeCell ref="B33:E33"/>
    <mergeCell ref="G33:H33"/>
    <mergeCell ref="B34:E34"/>
    <mergeCell ref="G34:H34"/>
    <mergeCell ref="B28:E28"/>
    <mergeCell ref="G28:H28"/>
    <mergeCell ref="B31:E31"/>
    <mergeCell ref="G31:H31"/>
    <mergeCell ref="A29:J29"/>
    <mergeCell ref="A30:J30"/>
    <mergeCell ref="B39:E39"/>
    <mergeCell ref="G39:H39"/>
    <mergeCell ref="B41:E41"/>
    <mergeCell ref="G41:H41"/>
    <mergeCell ref="B42:E42"/>
    <mergeCell ref="G42:H42"/>
    <mergeCell ref="A40:J40"/>
    <mergeCell ref="B36:E36"/>
    <mergeCell ref="G36:H36"/>
    <mergeCell ref="B37:E37"/>
    <mergeCell ref="G37:H37"/>
    <mergeCell ref="B38:E38"/>
    <mergeCell ref="G38:H38"/>
    <mergeCell ref="B46:E46"/>
    <mergeCell ref="G46:H46"/>
    <mergeCell ref="B47:E47"/>
    <mergeCell ref="G47:H47"/>
    <mergeCell ref="B49:E49"/>
    <mergeCell ref="G49:H49"/>
    <mergeCell ref="A48:J48"/>
    <mergeCell ref="B43:E43"/>
    <mergeCell ref="G43:H43"/>
    <mergeCell ref="B44:E44"/>
    <mergeCell ref="G44:H44"/>
    <mergeCell ref="B45:E45"/>
    <mergeCell ref="G45:H45"/>
    <mergeCell ref="A76:J76"/>
    <mergeCell ref="B74:E74"/>
    <mergeCell ref="G74:H74"/>
    <mergeCell ref="B75:E75"/>
    <mergeCell ref="G75:H75"/>
    <mergeCell ref="A72:J72"/>
    <mergeCell ref="A73:J73"/>
    <mergeCell ref="B71:E71"/>
    <mergeCell ref="G71:H71"/>
    <mergeCell ref="B80:E80"/>
    <mergeCell ref="G80:H80"/>
    <mergeCell ref="B81:E81"/>
    <mergeCell ref="G81:H81"/>
    <mergeCell ref="B82:E82"/>
    <mergeCell ref="G82:H82"/>
    <mergeCell ref="B77:E77"/>
    <mergeCell ref="G77:H77"/>
    <mergeCell ref="B78:E78"/>
    <mergeCell ref="G78:H78"/>
    <mergeCell ref="B79:E79"/>
    <mergeCell ref="G79:H79"/>
    <mergeCell ref="B88:E88"/>
    <mergeCell ref="G88:H88"/>
    <mergeCell ref="A89:I89"/>
    <mergeCell ref="B91:E91"/>
    <mergeCell ref="G91:H91"/>
    <mergeCell ref="A90:J90"/>
    <mergeCell ref="B83:E83"/>
    <mergeCell ref="G83:H83"/>
    <mergeCell ref="B84:E84"/>
    <mergeCell ref="G84:H84"/>
    <mergeCell ref="B87:E87"/>
    <mergeCell ref="G87:H87"/>
    <mergeCell ref="A86:J86"/>
    <mergeCell ref="B96:E96"/>
    <mergeCell ref="G96:H96"/>
    <mergeCell ref="B97:E97"/>
    <mergeCell ref="G97:H97"/>
    <mergeCell ref="B98:E98"/>
    <mergeCell ref="G98:H98"/>
    <mergeCell ref="A95:J95"/>
    <mergeCell ref="B92:E92"/>
    <mergeCell ref="G92:H92"/>
    <mergeCell ref="B93:E93"/>
    <mergeCell ref="G93:H93"/>
    <mergeCell ref="B94:E94"/>
    <mergeCell ref="G94:H94"/>
    <mergeCell ref="A100:J100"/>
    <mergeCell ref="B110:E110"/>
    <mergeCell ref="G110:H110"/>
    <mergeCell ref="B113:E113"/>
    <mergeCell ref="G113:H113"/>
    <mergeCell ref="A112:J112"/>
    <mergeCell ref="B106:E106"/>
    <mergeCell ref="G106:H106"/>
    <mergeCell ref="B107:E107"/>
    <mergeCell ref="G107:H107"/>
    <mergeCell ref="B109:E109"/>
    <mergeCell ref="G109:H109"/>
    <mergeCell ref="A108:J108"/>
    <mergeCell ref="B103:E103"/>
    <mergeCell ref="G103:H103"/>
    <mergeCell ref="B104:E104"/>
    <mergeCell ref="G104:H104"/>
    <mergeCell ref="B105:E105"/>
    <mergeCell ref="G105:H105"/>
    <mergeCell ref="B101:E101"/>
    <mergeCell ref="G101:H101"/>
    <mergeCell ref="B102:E102"/>
    <mergeCell ref="G102:H102"/>
    <mergeCell ref="B117:E117"/>
    <mergeCell ref="G117:H117"/>
    <mergeCell ref="B118:E118"/>
    <mergeCell ref="G118:H118"/>
    <mergeCell ref="B119:E119"/>
    <mergeCell ref="G119:H119"/>
    <mergeCell ref="B114:E114"/>
    <mergeCell ref="G114:H114"/>
    <mergeCell ref="B115:E115"/>
    <mergeCell ref="G115:H115"/>
    <mergeCell ref="B116:E116"/>
    <mergeCell ref="G116:H116"/>
    <mergeCell ref="A123:J123"/>
    <mergeCell ref="A124:J124"/>
    <mergeCell ref="A125:J125"/>
    <mergeCell ref="A126:J126"/>
    <mergeCell ref="A127:J127"/>
    <mergeCell ref="A128:J128"/>
    <mergeCell ref="B137:E137"/>
    <mergeCell ref="G137:H137"/>
    <mergeCell ref="B138:E138"/>
    <mergeCell ref="G138:H138"/>
    <mergeCell ref="B134:E134"/>
    <mergeCell ref="G134:H134"/>
    <mergeCell ref="B135:E135"/>
    <mergeCell ref="G135:H135"/>
    <mergeCell ref="A136:J136"/>
    <mergeCell ref="A133:J133"/>
    <mergeCell ref="G140:H140"/>
    <mergeCell ref="B141:E141"/>
    <mergeCell ref="G141:H141"/>
    <mergeCell ref="B142:E142"/>
    <mergeCell ref="G142:H142"/>
    <mergeCell ref="A146:J146"/>
    <mergeCell ref="B152:E152"/>
    <mergeCell ref="G152:H152"/>
    <mergeCell ref="B155:E155"/>
    <mergeCell ref="G155:H155"/>
    <mergeCell ref="B148:E148"/>
    <mergeCell ref="G148:H148"/>
    <mergeCell ref="B151:E151"/>
    <mergeCell ref="G151:H151"/>
    <mergeCell ref="A149:J149"/>
    <mergeCell ref="A150:J150"/>
    <mergeCell ref="A154:J154"/>
    <mergeCell ref="B160:E160"/>
    <mergeCell ref="G160:H160"/>
    <mergeCell ref="B161:E161"/>
    <mergeCell ref="G161:H161"/>
    <mergeCell ref="B162:E162"/>
    <mergeCell ref="G162:H162"/>
    <mergeCell ref="B156:E156"/>
    <mergeCell ref="G156:H156"/>
    <mergeCell ref="B157:E157"/>
    <mergeCell ref="G157:H157"/>
    <mergeCell ref="A159:J159"/>
    <mergeCell ref="B167:E167"/>
    <mergeCell ref="G167:H167"/>
    <mergeCell ref="B168:E168"/>
    <mergeCell ref="G168:H168"/>
    <mergeCell ref="B163:E163"/>
    <mergeCell ref="G163:H163"/>
    <mergeCell ref="B164:E164"/>
    <mergeCell ref="G164:H164"/>
    <mergeCell ref="A166:J166"/>
    <mergeCell ref="A170:J170"/>
    <mergeCell ref="B178:I178"/>
    <mergeCell ref="B179:I179"/>
    <mergeCell ref="A182:J182"/>
    <mergeCell ref="A183:J183"/>
    <mergeCell ref="B190:E190"/>
    <mergeCell ref="G190:H190"/>
    <mergeCell ref="B193:E193"/>
    <mergeCell ref="G193:H193"/>
    <mergeCell ref="B189:E189"/>
    <mergeCell ref="G189:H189"/>
    <mergeCell ref="A184:J184"/>
    <mergeCell ref="A185:J185"/>
    <mergeCell ref="A186:J186"/>
    <mergeCell ref="B174:E174"/>
    <mergeCell ref="G174:H174"/>
    <mergeCell ref="B175:E175"/>
    <mergeCell ref="G175:H175"/>
    <mergeCell ref="B171:E171"/>
    <mergeCell ref="G171:H171"/>
    <mergeCell ref="B172:E172"/>
    <mergeCell ref="G172:H172"/>
    <mergeCell ref="B173:E173"/>
    <mergeCell ref="G173:H173"/>
    <mergeCell ref="G195:H195"/>
    <mergeCell ref="B196:E196"/>
    <mergeCell ref="G196:H196"/>
    <mergeCell ref="B204:E204"/>
    <mergeCell ref="G204:H204"/>
    <mergeCell ref="B205:E205"/>
    <mergeCell ref="G205:H205"/>
    <mergeCell ref="B206:E206"/>
    <mergeCell ref="G206:H206"/>
    <mergeCell ref="B200:E200"/>
    <mergeCell ref="G200:H200"/>
    <mergeCell ref="B202:E202"/>
    <mergeCell ref="G202:H202"/>
    <mergeCell ref="B203:E203"/>
    <mergeCell ref="G203:H203"/>
    <mergeCell ref="A212:I212"/>
    <mergeCell ref="B213:E213"/>
    <mergeCell ref="G213:H213"/>
    <mergeCell ref="B214:E214"/>
    <mergeCell ref="G214:H214"/>
    <mergeCell ref="B209:E209"/>
    <mergeCell ref="G209:H209"/>
    <mergeCell ref="B219:E219"/>
    <mergeCell ref="G219:H219"/>
    <mergeCell ref="B222:E222"/>
    <mergeCell ref="G222:H222"/>
    <mergeCell ref="B217:E217"/>
    <mergeCell ref="G217:H217"/>
    <mergeCell ref="B218:E218"/>
    <mergeCell ref="G218:H218"/>
    <mergeCell ref="B226:E226"/>
    <mergeCell ref="G226:H226"/>
    <mergeCell ref="B227:E227"/>
    <mergeCell ref="G227:H227"/>
    <mergeCell ref="B223:E223"/>
    <mergeCell ref="G223:H223"/>
    <mergeCell ref="B224:E224"/>
    <mergeCell ref="G224:H224"/>
    <mergeCell ref="B225:E225"/>
    <mergeCell ref="G225:H225"/>
    <mergeCell ref="B234:E234"/>
    <mergeCell ref="G234:H234"/>
    <mergeCell ref="B235:E235"/>
    <mergeCell ref="G235:H235"/>
    <mergeCell ref="B236:E236"/>
    <mergeCell ref="G236:H236"/>
    <mergeCell ref="B230:E230"/>
    <mergeCell ref="G230:H230"/>
    <mergeCell ref="B231:E231"/>
    <mergeCell ref="G231:H231"/>
    <mergeCell ref="A233:J233"/>
    <mergeCell ref="B232:I232"/>
    <mergeCell ref="B237:I237"/>
    <mergeCell ref="B247:E247"/>
    <mergeCell ref="G247:H247"/>
    <mergeCell ref="B248:E248"/>
    <mergeCell ref="G248:H248"/>
    <mergeCell ref="A249:I249"/>
    <mergeCell ref="A240:J240"/>
    <mergeCell ref="A241:J241"/>
    <mergeCell ref="A242:J242"/>
    <mergeCell ref="A243:J243"/>
    <mergeCell ref="A244:J244"/>
    <mergeCell ref="A245:J245"/>
    <mergeCell ref="B252:E252"/>
    <mergeCell ref="G252:H252"/>
    <mergeCell ref="B253:E253"/>
    <mergeCell ref="G253:H253"/>
    <mergeCell ref="B263:E263"/>
    <mergeCell ref="G263:H263"/>
    <mergeCell ref="A264:I264"/>
    <mergeCell ref="A265:I265"/>
    <mergeCell ref="B266:E266"/>
    <mergeCell ref="G266:H266"/>
    <mergeCell ref="B259:E259"/>
    <mergeCell ref="G259:H259"/>
    <mergeCell ref="B260:E260"/>
    <mergeCell ref="G260:H260"/>
    <mergeCell ref="A261:I261"/>
    <mergeCell ref="B262:E262"/>
    <mergeCell ref="G262:H262"/>
    <mergeCell ref="B271:E271"/>
    <mergeCell ref="G271:H271"/>
    <mergeCell ref="B272:E272"/>
    <mergeCell ref="G272:H272"/>
    <mergeCell ref="B273:E273"/>
    <mergeCell ref="G273:H273"/>
    <mergeCell ref="B267:E267"/>
    <mergeCell ref="G267:H267"/>
    <mergeCell ref="B268:E268"/>
    <mergeCell ref="G268:H268"/>
    <mergeCell ref="A269:I269"/>
    <mergeCell ref="B270:E270"/>
    <mergeCell ref="G270:H270"/>
    <mergeCell ref="B278:E278"/>
    <mergeCell ref="G278:H278"/>
    <mergeCell ref="B279:E279"/>
    <mergeCell ref="G279:H279"/>
    <mergeCell ref="B280:E280"/>
    <mergeCell ref="G280:H280"/>
    <mergeCell ref="A274:I274"/>
    <mergeCell ref="B275:E275"/>
    <mergeCell ref="G275:H275"/>
    <mergeCell ref="B276:E276"/>
    <mergeCell ref="G276:H276"/>
    <mergeCell ref="B277:E277"/>
    <mergeCell ref="G277:H277"/>
    <mergeCell ref="B287:E287"/>
    <mergeCell ref="G287:H287"/>
    <mergeCell ref="B288:E288"/>
    <mergeCell ref="G288:H288"/>
    <mergeCell ref="B281:E281"/>
    <mergeCell ref="G281:H281"/>
    <mergeCell ref="B283:E283"/>
    <mergeCell ref="G283:H283"/>
    <mergeCell ref="B284:E284"/>
    <mergeCell ref="G284:H284"/>
    <mergeCell ref="A282:J282"/>
    <mergeCell ref="A286:J286"/>
    <mergeCell ref="B318:E318"/>
    <mergeCell ref="G318:H318"/>
    <mergeCell ref="B314:E314"/>
    <mergeCell ref="G314:H314"/>
    <mergeCell ref="B299:E299"/>
    <mergeCell ref="G299:H299"/>
    <mergeCell ref="B300:E300"/>
    <mergeCell ref="G300:H300"/>
    <mergeCell ref="B289:I289"/>
    <mergeCell ref="B308:E308"/>
    <mergeCell ref="G308:H308"/>
    <mergeCell ref="B303:E303"/>
    <mergeCell ref="G303:H303"/>
    <mergeCell ref="B306:I306"/>
    <mergeCell ref="B309:I309"/>
    <mergeCell ref="A301:J301"/>
    <mergeCell ref="A302:J302"/>
    <mergeCell ref="A307:J307"/>
    <mergeCell ref="A310:J310"/>
    <mergeCell ref="B304:E304"/>
    <mergeCell ref="G304:H304"/>
    <mergeCell ref="B305:E305"/>
    <mergeCell ref="G305:H305"/>
    <mergeCell ref="B326:E326"/>
    <mergeCell ref="G326:H326"/>
    <mergeCell ref="B327:E327"/>
    <mergeCell ref="G327:H327"/>
    <mergeCell ref="B329:I329"/>
    <mergeCell ref="B311:I311"/>
    <mergeCell ref="B316:I316"/>
    <mergeCell ref="B323:E323"/>
    <mergeCell ref="G323:H323"/>
    <mergeCell ref="B324:E324"/>
    <mergeCell ref="G324:H324"/>
    <mergeCell ref="B325:E325"/>
    <mergeCell ref="G325:H325"/>
    <mergeCell ref="B319:E319"/>
    <mergeCell ref="G319:H319"/>
    <mergeCell ref="B320:E320"/>
    <mergeCell ref="G320:H320"/>
    <mergeCell ref="B321:I321"/>
    <mergeCell ref="A312:J312"/>
    <mergeCell ref="A313:J313"/>
    <mergeCell ref="A317:J317"/>
    <mergeCell ref="A322:J322"/>
    <mergeCell ref="B315:E315"/>
    <mergeCell ref="G315:H315"/>
    <mergeCell ref="A341:J341"/>
    <mergeCell ref="B338:I338"/>
    <mergeCell ref="B333:I333"/>
    <mergeCell ref="B328:E328"/>
    <mergeCell ref="G328:H328"/>
    <mergeCell ref="B335:E335"/>
    <mergeCell ref="G335:H335"/>
    <mergeCell ref="B336:E336"/>
    <mergeCell ref="G336:H336"/>
    <mergeCell ref="B337:I337"/>
    <mergeCell ref="B331:E331"/>
    <mergeCell ref="G331:H331"/>
    <mergeCell ref="B332:E332"/>
    <mergeCell ref="G332:H332"/>
    <mergeCell ref="A330:J330"/>
    <mergeCell ref="A334:J334"/>
    <mergeCell ref="A342:J342"/>
    <mergeCell ref="A343:J343"/>
    <mergeCell ref="A344:J344"/>
    <mergeCell ref="A345:J345"/>
    <mergeCell ref="A346:J346"/>
    <mergeCell ref="B352:E352"/>
    <mergeCell ref="G352:H352"/>
    <mergeCell ref="B353:E353"/>
    <mergeCell ref="G353:H353"/>
    <mergeCell ref="B354:E354"/>
    <mergeCell ref="G354:H354"/>
    <mergeCell ref="B348:E348"/>
    <mergeCell ref="G348:H348"/>
    <mergeCell ref="B349:E349"/>
    <mergeCell ref="G349:H349"/>
    <mergeCell ref="A350:J350"/>
    <mergeCell ref="A351:J351"/>
    <mergeCell ref="B358:E358"/>
    <mergeCell ref="G358:H358"/>
    <mergeCell ref="B359:E359"/>
    <mergeCell ref="G359:H359"/>
    <mergeCell ref="B360:E360"/>
    <mergeCell ref="G360:H360"/>
    <mergeCell ref="B355:E355"/>
    <mergeCell ref="G355:H355"/>
    <mergeCell ref="B356:E356"/>
    <mergeCell ref="G356:H356"/>
    <mergeCell ref="B357:E357"/>
    <mergeCell ref="G357:H357"/>
    <mergeCell ref="B364:E364"/>
    <mergeCell ref="G364:H364"/>
    <mergeCell ref="B365:E365"/>
    <mergeCell ref="G365:H365"/>
    <mergeCell ref="A366:I366"/>
    <mergeCell ref="B368:E368"/>
    <mergeCell ref="G368:H368"/>
    <mergeCell ref="B361:E361"/>
    <mergeCell ref="G361:H361"/>
    <mergeCell ref="B362:E362"/>
    <mergeCell ref="G362:H362"/>
    <mergeCell ref="B363:E363"/>
    <mergeCell ref="G363:H363"/>
    <mergeCell ref="A367:J367"/>
    <mergeCell ref="B372:E372"/>
    <mergeCell ref="G372:H372"/>
    <mergeCell ref="B373:E373"/>
    <mergeCell ref="G373:H373"/>
    <mergeCell ref="B374:E374"/>
    <mergeCell ref="G374:H374"/>
    <mergeCell ref="B369:E369"/>
    <mergeCell ref="G369:H369"/>
    <mergeCell ref="B370:E370"/>
    <mergeCell ref="G370:H370"/>
    <mergeCell ref="B371:E371"/>
    <mergeCell ref="G371:H371"/>
    <mergeCell ref="B375:E375"/>
    <mergeCell ref="G375:H375"/>
    <mergeCell ref="B378:E378"/>
    <mergeCell ref="G378:H378"/>
    <mergeCell ref="B379:E379"/>
    <mergeCell ref="G379:H379"/>
    <mergeCell ref="A377:J377"/>
    <mergeCell ref="A380:J380"/>
    <mergeCell ref="A381:J381"/>
    <mergeCell ref="B387:E387"/>
    <mergeCell ref="G387:H387"/>
    <mergeCell ref="A385:J385"/>
    <mergeCell ref="A390:J390"/>
    <mergeCell ref="B395:E395"/>
    <mergeCell ref="G395:H395"/>
    <mergeCell ref="B396:E396"/>
    <mergeCell ref="G396:H396"/>
    <mergeCell ref="B392:E392"/>
    <mergeCell ref="G392:H392"/>
    <mergeCell ref="B393:E393"/>
    <mergeCell ref="G393:H393"/>
    <mergeCell ref="B394:E394"/>
    <mergeCell ref="G394:H394"/>
    <mergeCell ref="A398:J398"/>
    <mergeCell ref="A402:J402"/>
    <mergeCell ref="B409:E409"/>
    <mergeCell ref="G409:H409"/>
    <mergeCell ref="B410:E410"/>
    <mergeCell ref="G410:H410"/>
    <mergeCell ref="B411:E411"/>
    <mergeCell ref="G411:H411"/>
    <mergeCell ref="B406:E406"/>
    <mergeCell ref="G406:H406"/>
    <mergeCell ref="B407:E407"/>
    <mergeCell ref="G407:H407"/>
    <mergeCell ref="B408:E408"/>
    <mergeCell ref="G408:H408"/>
    <mergeCell ref="B403:E403"/>
    <mergeCell ref="G403:H403"/>
    <mergeCell ref="B404:E404"/>
    <mergeCell ref="G404:H404"/>
    <mergeCell ref="B405:E405"/>
    <mergeCell ref="G405:H405"/>
    <mergeCell ref="B399:E399"/>
    <mergeCell ref="G399:H399"/>
    <mergeCell ref="B400:E400"/>
    <mergeCell ref="G400:H400"/>
    <mergeCell ref="A420:I420"/>
    <mergeCell ref="B422:E422"/>
    <mergeCell ref="G422:H422"/>
    <mergeCell ref="B423:E423"/>
    <mergeCell ref="G423:H423"/>
    <mergeCell ref="A415:J415"/>
    <mergeCell ref="A416:J416"/>
    <mergeCell ref="A417:J417"/>
    <mergeCell ref="A418:J418"/>
    <mergeCell ref="A419:J419"/>
    <mergeCell ref="A424:J424"/>
    <mergeCell ref="A425:J425"/>
    <mergeCell ref="B434:E434"/>
    <mergeCell ref="G434:H434"/>
    <mergeCell ref="B435:E435"/>
    <mergeCell ref="G435:H435"/>
    <mergeCell ref="B436:E436"/>
    <mergeCell ref="G436:H436"/>
    <mergeCell ref="B431:E431"/>
    <mergeCell ref="G431:H431"/>
    <mergeCell ref="B432:E432"/>
    <mergeCell ref="G432:H432"/>
    <mergeCell ref="B433:E433"/>
    <mergeCell ref="G433:H433"/>
    <mergeCell ref="B428:E428"/>
    <mergeCell ref="G428:H428"/>
    <mergeCell ref="B429:E429"/>
    <mergeCell ref="G429:H429"/>
    <mergeCell ref="B430:E430"/>
    <mergeCell ref="G430:H430"/>
    <mergeCell ref="B426:E426"/>
    <mergeCell ref="G426:H426"/>
    <mergeCell ref="B427:E427"/>
    <mergeCell ref="G427:H427"/>
    <mergeCell ref="B442:E442"/>
    <mergeCell ref="G442:H442"/>
    <mergeCell ref="B443:E443"/>
    <mergeCell ref="G443:H443"/>
    <mergeCell ref="B444:E444"/>
    <mergeCell ref="G444:H444"/>
    <mergeCell ref="B437:E437"/>
    <mergeCell ref="G437:H437"/>
    <mergeCell ref="B438:E438"/>
    <mergeCell ref="G438:H438"/>
    <mergeCell ref="B439:E439"/>
    <mergeCell ref="G439:H439"/>
    <mergeCell ref="A441:J441"/>
    <mergeCell ref="B440:I440"/>
    <mergeCell ref="B448:E448"/>
    <mergeCell ref="G448:H448"/>
    <mergeCell ref="B449:E449"/>
    <mergeCell ref="G449:H449"/>
    <mergeCell ref="B452:E452"/>
    <mergeCell ref="G452:H452"/>
    <mergeCell ref="B445:E445"/>
    <mergeCell ref="G445:H445"/>
    <mergeCell ref="B446:E446"/>
    <mergeCell ref="G446:H446"/>
    <mergeCell ref="B447:E447"/>
    <mergeCell ref="G447:H447"/>
    <mergeCell ref="A451:J451"/>
    <mergeCell ref="B450:I450"/>
    <mergeCell ref="B457:E457"/>
    <mergeCell ref="G457:H457"/>
    <mergeCell ref="B460:E460"/>
    <mergeCell ref="G460:H460"/>
    <mergeCell ref="B453:E453"/>
    <mergeCell ref="G453:H453"/>
    <mergeCell ref="A454:I454"/>
    <mergeCell ref="B456:E456"/>
    <mergeCell ref="G456:H456"/>
    <mergeCell ref="A455:J455"/>
    <mergeCell ref="A459:J459"/>
    <mergeCell ref="B458:I458"/>
    <mergeCell ref="B465:E465"/>
    <mergeCell ref="G465:H465"/>
    <mergeCell ref="B466:E466"/>
    <mergeCell ref="G466:H466"/>
    <mergeCell ref="B467:E467"/>
    <mergeCell ref="G467:H467"/>
    <mergeCell ref="B461:E461"/>
    <mergeCell ref="G461:H461"/>
    <mergeCell ref="B462:E462"/>
    <mergeCell ref="G462:H462"/>
    <mergeCell ref="A464:J464"/>
    <mergeCell ref="B463:I463"/>
    <mergeCell ref="B473:E473"/>
    <mergeCell ref="G473:H473"/>
    <mergeCell ref="B474:E474"/>
    <mergeCell ref="G474:H474"/>
    <mergeCell ref="B468:E468"/>
    <mergeCell ref="G468:H468"/>
    <mergeCell ref="B469:E469"/>
    <mergeCell ref="G469:H469"/>
    <mergeCell ref="B470:E470"/>
    <mergeCell ref="G470:H470"/>
    <mergeCell ref="A472:J472"/>
    <mergeCell ref="B471:I471"/>
    <mergeCell ref="A476:J476"/>
    <mergeCell ref="B475:I475"/>
    <mergeCell ref="B485:E485"/>
    <mergeCell ref="G485:H485"/>
    <mergeCell ref="B482:E482"/>
    <mergeCell ref="G482:H482"/>
    <mergeCell ref="B483:E483"/>
    <mergeCell ref="G483:H483"/>
    <mergeCell ref="B484:E484"/>
    <mergeCell ref="G484:H484"/>
    <mergeCell ref="B479:E479"/>
    <mergeCell ref="G479:H479"/>
    <mergeCell ref="B480:E480"/>
    <mergeCell ref="G480:H480"/>
    <mergeCell ref="B481:E481"/>
    <mergeCell ref="G481:H481"/>
    <mergeCell ref="B477:E477"/>
    <mergeCell ref="G477:H477"/>
    <mergeCell ref="B478:E478"/>
    <mergeCell ref="G478:H478"/>
    <mergeCell ref="B486:I486"/>
    <mergeCell ref="A490:J490"/>
    <mergeCell ref="A491:J491"/>
    <mergeCell ref="B498:E498"/>
    <mergeCell ref="G498:H498"/>
    <mergeCell ref="B501:E501"/>
    <mergeCell ref="G501:H501"/>
    <mergeCell ref="A495:I495"/>
    <mergeCell ref="B497:E497"/>
    <mergeCell ref="G497:H497"/>
    <mergeCell ref="A492:J492"/>
    <mergeCell ref="A493:J493"/>
    <mergeCell ref="A494:J494"/>
    <mergeCell ref="A499:J499"/>
    <mergeCell ref="A500:J500"/>
    <mergeCell ref="B505:E505"/>
    <mergeCell ref="G505:H505"/>
    <mergeCell ref="B506:E506"/>
    <mergeCell ref="G506:H506"/>
    <mergeCell ref="B507:E507"/>
    <mergeCell ref="G507:H507"/>
    <mergeCell ref="B502:E502"/>
    <mergeCell ref="G502:H502"/>
    <mergeCell ref="B503:E503"/>
    <mergeCell ref="G503:H503"/>
    <mergeCell ref="B504:E504"/>
    <mergeCell ref="G504:H504"/>
    <mergeCell ref="B511:E511"/>
    <mergeCell ref="G511:H511"/>
    <mergeCell ref="B512:E512"/>
    <mergeCell ref="G512:H512"/>
    <mergeCell ref="B513:E513"/>
    <mergeCell ref="G513:H513"/>
    <mergeCell ref="B508:E508"/>
    <mergeCell ref="G508:H508"/>
    <mergeCell ref="B509:E509"/>
    <mergeCell ref="G509:H509"/>
    <mergeCell ref="B510:E510"/>
    <mergeCell ref="G510:H510"/>
    <mergeCell ref="B519:E519"/>
    <mergeCell ref="G519:H519"/>
    <mergeCell ref="B520:E520"/>
    <mergeCell ref="G520:H520"/>
    <mergeCell ref="B521:E521"/>
    <mergeCell ref="G521:H521"/>
    <mergeCell ref="B514:E514"/>
    <mergeCell ref="G514:H514"/>
    <mergeCell ref="B517:E517"/>
    <mergeCell ref="G517:H517"/>
    <mergeCell ref="B518:E518"/>
    <mergeCell ref="G518:H518"/>
    <mergeCell ref="A516:J516"/>
    <mergeCell ref="A515:H515"/>
    <mergeCell ref="A525:I525"/>
    <mergeCell ref="B527:E527"/>
    <mergeCell ref="G527:H527"/>
    <mergeCell ref="B528:E528"/>
    <mergeCell ref="G528:H528"/>
    <mergeCell ref="B522:E522"/>
    <mergeCell ref="G522:H522"/>
    <mergeCell ref="B523:E523"/>
    <mergeCell ref="G523:H523"/>
    <mergeCell ref="B524:E524"/>
    <mergeCell ref="G524:H524"/>
    <mergeCell ref="A526:J526"/>
    <mergeCell ref="A547:J547"/>
    <mergeCell ref="A529:J529"/>
    <mergeCell ref="B535:E535"/>
    <mergeCell ref="G535:H535"/>
    <mergeCell ref="B536:E536"/>
    <mergeCell ref="G536:H536"/>
    <mergeCell ref="B537:E537"/>
    <mergeCell ref="G537:H537"/>
    <mergeCell ref="A530:I530"/>
    <mergeCell ref="B531:E531"/>
    <mergeCell ref="G531:H531"/>
    <mergeCell ref="B532:E532"/>
    <mergeCell ref="G532:H532"/>
    <mergeCell ref="A534:J534"/>
    <mergeCell ref="B542:E542"/>
    <mergeCell ref="G542:H542"/>
    <mergeCell ref="B543:E543"/>
    <mergeCell ref="G543:H543"/>
    <mergeCell ref="B544:E544"/>
    <mergeCell ref="G544:H544"/>
    <mergeCell ref="B540:E540"/>
    <mergeCell ref="G540:H540"/>
    <mergeCell ref="B541:E541"/>
    <mergeCell ref="G541:H541"/>
    <mergeCell ref="B556:E556"/>
    <mergeCell ref="G556:H556"/>
    <mergeCell ref="B557:E557"/>
    <mergeCell ref="G557:H557"/>
    <mergeCell ref="B558:E558"/>
    <mergeCell ref="G558:H558"/>
    <mergeCell ref="B553:E553"/>
    <mergeCell ref="G553:H553"/>
    <mergeCell ref="B554:E554"/>
    <mergeCell ref="G554:H554"/>
    <mergeCell ref="B555:E555"/>
    <mergeCell ref="G555:H555"/>
    <mergeCell ref="A3:J3"/>
    <mergeCell ref="A4:J4"/>
    <mergeCell ref="A5:J5"/>
    <mergeCell ref="A6:J6"/>
    <mergeCell ref="B559:E559"/>
    <mergeCell ref="G559:H559"/>
    <mergeCell ref="B560:E560"/>
    <mergeCell ref="G560:H560"/>
    <mergeCell ref="B549:E549"/>
    <mergeCell ref="G549:H549"/>
    <mergeCell ref="B552:E552"/>
    <mergeCell ref="G552:H552"/>
    <mergeCell ref="B545:E545"/>
    <mergeCell ref="G545:H545"/>
    <mergeCell ref="B548:E548"/>
    <mergeCell ref="G548:H548"/>
    <mergeCell ref="B62:I62"/>
    <mergeCell ref="A64:J64"/>
    <mergeCell ref="A65:J65"/>
    <mergeCell ref="A66:J66"/>
    <mergeCell ref="A67:J67"/>
    <mergeCell ref="B70:E70"/>
    <mergeCell ref="G70:H70"/>
    <mergeCell ref="A539:J539"/>
    <mergeCell ref="A68:J68"/>
    <mergeCell ref="A10:J10"/>
    <mergeCell ref="B60:E60"/>
    <mergeCell ref="G60:H60"/>
    <mergeCell ref="B61:I61"/>
    <mergeCell ref="B57:E57"/>
    <mergeCell ref="G57:H57"/>
    <mergeCell ref="B58:E58"/>
    <mergeCell ref="G58:H58"/>
    <mergeCell ref="B59:E59"/>
    <mergeCell ref="G59:H59"/>
    <mergeCell ref="B54:E54"/>
    <mergeCell ref="G54:H54"/>
    <mergeCell ref="B55:E55"/>
    <mergeCell ref="G55:H55"/>
    <mergeCell ref="B56:E56"/>
    <mergeCell ref="G56:H56"/>
    <mergeCell ref="A53:J53"/>
    <mergeCell ref="B50:E50"/>
    <mergeCell ref="G50:H50"/>
    <mergeCell ref="B51:E51"/>
    <mergeCell ref="G51:H51"/>
    <mergeCell ref="B52:E52"/>
    <mergeCell ref="G52:H52"/>
  </mergeCells>
  <pageMargins left="0.25" right="0.25" top="0.75" bottom="0.75" header="0.3" footer="0.3"/>
  <pageSetup paperSize="9" scale="90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7"/>
  <sheetViews>
    <sheetView zoomScale="85" zoomScaleNormal="85" workbookViewId="0">
      <pane xSplit="1" ySplit="2" topLeftCell="B3" activePane="bottomRight" state="frozen"/>
      <selection activeCell="E5" sqref="E5"/>
      <selection pane="topRight" activeCell="E5" sqref="E5"/>
      <selection pane="bottomLeft" activeCell="E5" sqref="E5"/>
      <selection pane="bottomRight" activeCell="E34" sqref="E34"/>
    </sheetView>
  </sheetViews>
  <sheetFormatPr defaultRowHeight="15" x14ac:dyDescent="0.25"/>
  <cols>
    <col min="1" max="1" width="35.28515625" customWidth="1"/>
    <col min="2" max="2" width="7.28515625" customWidth="1"/>
    <col min="3" max="3" width="11.28515625" customWidth="1"/>
    <col min="4" max="4" width="8.28515625" customWidth="1"/>
    <col min="5" max="5" width="9.85546875" customWidth="1"/>
    <col min="6" max="6" width="16.7109375" customWidth="1"/>
    <col min="7" max="7" width="6.85546875" hidden="1" customWidth="1"/>
    <col min="8" max="8" width="11.5703125" hidden="1" customWidth="1"/>
    <col min="9" max="9" width="7.85546875" hidden="1" customWidth="1"/>
    <col min="10" max="10" width="9.28515625" hidden="1" customWidth="1"/>
    <col min="11" max="11" width="13" hidden="1" customWidth="1"/>
    <col min="12" max="13" width="12.7109375" hidden="1" customWidth="1"/>
    <col min="14" max="14" width="7.85546875" customWidth="1"/>
    <col min="15" max="15" width="12.7109375" bestFit="1" customWidth="1"/>
    <col min="16" max="16" width="13.28515625" customWidth="1"/>
    <col min="17" max="17" width="9.85546875" bestFit="1" customWidth="1"/>
    <col min="18" max="18" width="15.42578125" customWidth="1"/>
    <col min="23" max="23" width="14.7109375" customWidth="1"/>
    <col min="24" max="24" width="13.42578125" bestFit="1" customWidth="1"/>
    <col min="26" max="26" width="17.140625" customWidth="1"/>
  </cols>
  <sheetData>
    <row r="1" spans="1:26" ht="81" customHeight="1" thickBot="1" x14ac:dyDescent="0.3">
      <c r="A1" s="875" t="s">
        <v>156</v>
      </c>
      <c r="B1" s="875"/>
      <c r="C1" s="875"/>
      <c r="D1" s="875"/>
      <c r="E1" s="875"/>
      <c r="F1" s="875"/>
      <c r="G1" s="875"/>
      <c r="H1" s="875"/>
      <c r="I1" s="875"/>
      <c r="J1" s="875"/>
      <c r="K1" s="875"/>
      <c r="L1" s="875"/>
      <c r="M1" s="875"/>
      <c r="N1" s="875"/>
      <c r="O1" s="875"/>
      <c r="P1" s="875"/>
      <c r="Q1" s="875"/>
      <c r="R1" s="875"/>
      <c r="S1" s="875"/>
      <c r="T1" s="875"/>
      <c r="U1" s="875"/>
      <c r="V1" s="875"/>
      <c r="W1" s="875"/>
    </row>
    <row r="2" spans="1:26" ht="67.5" customHeight="1" thickBot="1" x14ac:dyDescent="0.3">
      <c r="A2" s="180"/>
      <c r="B2" s="180" t="s">
        <v>64</v>
      </c>
      <c r="C2" s="1120" t="s">
        <v>148</v>
      </c>
      <c r="D2" s="877"/>
      <c r="E2" s="877"/>
      <c r="F2" s="1121"/>
      <c r="G2" s="179" t="s">
        <v>64</v>
      </c>
      <c r="H2" s="876" t="s">
        <v>39</v>
      </c>
      <c r="I2" s="877"/>
      <c r="J2" s="877"/>
      <c r="K2" s="878"/>
      <c r="L2" s="35"/>
      <c r="M2" s="36" t="s">
        <v>65</v>
      </c>
      <c r="N2" s="180" t="s">
        <v>64</v>
      </c>
      <c r="O2" s="1120" t="s">
        <v>150</v>
      </c>
      <c r="P2" s="877"/>
      <c r="Q2" s="877"/>
      <c r="R2" s="1121"/>
      <c r="S2" s="264" t="s">
        <v>155</v>
      </c>
      <c r="T2" s="1120" t="s">
        <v>151</v>
      </c>
      <c r="U2" s="877"/>
      <c r="V2" s="877"/>
      <c r="W2" s="1121"/>
      <c r="X2" s="30" t="s">
        <v>44</v>
      </c>
    </row>
    <row r="3" spans="1:26" ht="12" customHeight="1" thickBot="1" x14ac:dyDescent="0.3">
      <c r="A3" s="194">
        <v>1</v>
      </c>
      <c r="B3" s="193">
        <v>2</v>
      </c>
      <c r="C3" s="193">
        <v>3</v>
      </c>
      <c r="D3" s="193">
        <v>4</v>
      </c>
      <c r="E3" s="193">
        <v>5</v>
      </c>
      <c r="F3" s="193">
        <v>6</v>
      </c>
      <c r="G3" s="193">
        <v>7</v>
      </c>
      <c r="H3" s="193">
        <v>8</v>
      </c>
      <c r="I3" s="193">
        <v>9</v>
      </c>
      <c r="J3" s="193">
        <v>10</v>
      </c>
      <c r="K3" s="193">
        <v>11</v>
      </c>
      <c r="L3" s="195">
        <v>12</v>
      </c>
      <c r="M3" s="32"/>
      <c r="N3" s="193">
        <v>7</v>
      </c>
      <c r="O3" s="193">
        <v>8</v>
      </c>
      <c r="P3" s="193">
        <v>9</v>
      </c>
      <c r="Q3" s="193">
        <v>10</v>
      </c>
      <c r="R3" s="193">
        <v>11</v>
      </c>
      <c r="S3" s="193">
        <v>12</v>
      </c>
      <c r="T3" s="193">
        <v>13</v>
      </c>
      <c r="U3" s="193">
        <v>14</v>
      </c>
      <c r="V3" s="193">
        <v>15</v>
      </c>
      <c r="W3" s="193">
        <v>16</v>
      </c>
      <c r="X3" s="30"/>
    </row>
    <row r="4" spans="1:26" ht="65.25" customHeight="1" thickBot="1" x14ac:dyDescent="0.3">
      <c r="A4" s="178"/>
      <c r="B4" s="180" t="s">
        <v>143</v>
      </c>
      <c r="C4" s="179" t="s">
        <v>153</v>
      </c>
      <c r="D4" s="259" t="s">
        <v>65</v>
      </c>
      <c r="E4" s="259" t="s">
        <v>154</v>
      </c>
      <c r="F4" s="259" t="s">
        <v>44</v>
      </c>
      <c r="G4" s="42"/>
      <c r="H4" s="42" t="s">
        <v>66</v>
      </c>
      <c r="I4" s="42" t="s">
        <v>67</v>
      </c>
      <c r="J4" s="43" t="s">
        <v>68</v>
      </c>
      <c r="K4" s="43" t="s">
        <v>69</v>
      </c>
      <c r="L4" s="44" t="s">
        <v>70</v>
      </c>
      <c r="M4" s="196"/>
      <c r="N4" s="180" t="s">
        <v>144</v>
      </c>
      <c r="O4" s="179" t="s">
        <v>153</v>
      </c>
      <c r="P4" s="259" t="s">
        <v>65</v>
      </c>
      <c r="Q4" s="259" t="s">
        <v>154</v>
      </c>
      <c r="R4" s="260" t="s">
        <v>44</v>
      </c>
      <c r="S4" s="261" t="s">
        <v>145</v>
      </c>
      <c r="T4" s="179" t="s">
        <v>153</v>
      </c>
      <c r="U4" s="259" t="s">
        <v>65</v>
      </c>
      <c r="V4" s="259" t="s">
        <v>154</v>
      </c>
      <c r="W4" s="262" t="s">
        <v>44</v>
      </c>
      <c r="X4" s="30"/>
    </row>
    <row r="5" spans="1:26" s="51" customFormat="1" x14ac:dyDescent="0.25">
      <c r="A5" s="45" t="s">
        <v>71</v>
      </c>
      <c r="B5" s="852">
        <v>42</v>
      </c>
      <c r="C5" s="46"/>
      <c r="D5" s="47"/>
      <c r="E5" s="47"/>
      <c r="F5" s="48"/>
      <c r="G5" s="866"/>
      <c r="H5" s="46"/>
      <c r="I5" s="47"/>
      <c r="J5" s="47"/>
      <c r="K5" s="47" t="e">
        <f>#REF!+K6+K7</f>
        <v>#REF!</v>
      </c>
      <c r="L5" s="49" t="e">
        <f>F5+K5</f>
        <v>#REF!</v>
      </c>
      <c r="M5" s="197"/>
      <c r="N5" s="852">
        <v>431</v>
      </c>
      <c r="O5" s="46"/>
      <c r="P5" s="47"/>
      <c r="Q5" s="47"/>
      <c r="R5" s="183"/>
      <c r="S5" s="1088">
        <v>10</v>
      </c>
      <c r="T5" s="68"/>
      <c r="U5" s="47"/>
      <c r="V5" s="47"/>
      <c r="W5" s="48"/>
      <c r="X5" s="69"/>
    </row>
    <row r="6" spans="1:26" s="51" customFormat="1" ht="25.5" x14ac:dyDescent="0.25">
      <c r="A6" s="52" t="s">
        <v>157</v>
      </c>
      <c r="B6" s="853"/>
      <c r="C6" s="53">
        <f>E6/8.54</f>
        <v>30.83807293409167</v>
      </c>
      <c r="D6" s="54" t="s">
        <v>76</v>
      </c>
      <c r="E6" s="54">
        <f>F6/B5</f>
        <v>263.35714285714283</v>
      </c>
      <c r="F6" s="55">
        <v>11061</v>
      </c>
      <c r="G6" s="867"/>
      <c r="H6" s="53">
        <v>38.49</v>
      </c>
      <c r="I6" s="54" t="s">
        <v>76</v>
      </c>
      <c r="J6" s="54">
        <v>460.4</v>
      </c>
      <c r="K6" s="54">
        <f>J6*G5</f>
        <v>0</v>
      </c>
      <c r="L6" s="56">
        <f>F6+K6</f>
        <v>11061</v>
      </c>
      <c r="M6" s="198" t="s">
        <v>77</v>
      </c>
      <c r="N6" s="853"/>
      <c r="O6" s="53">
        <f>Q6/8.54</f>
        <v>3.0051022348766825</v>
      </c>
      <c r="P6" s="54" t="s">
        <v>76</v>
      </c>
      <c r="Q6" s="54">
        <f>R6/N5</f>
        <v>25.663573085846867</v>
      </c>
      <c r="R6" s="184">
        <v>11061</v>
      </c>
      <c r="S6" s="1089"/>
      <c r="T6" s="70">
        <f>V6/8.54</f>
        <v>156.65105386416863</v>
      </c>
      <c r="U6" s="54" t="s">
        <v>76</v>
      </c>
      <c r="V6" s="54">
        <f>W6/S5</f>
        <v>1337.8</v>
      </c>
      <c r="W6" s="55">
        <f>X6-F6-R6</f>
        <v>13378</v>
      </c>
      <c r="X6" s="69">
        <v>35500</v>
      </c>
    </row>
    <row r="7" spans="1:26" s="51" customFormat="1" ht="15.75" thickBot="1" x14ac:dyDescent="0.3">
      <c r="A7" s="58" t="s">
        <v>158</v>
      </c>
      <c r="B7" s="854"/>
      <c r="C7" s="59">
        <f>E7/61.09</f>
        <v>160.75033712944992</v>
      </c>
      <c r="D7" s="60" t="s">
        <v>73</v>
      </c>
      <c r="E7" s="60">
        <f>F7/B5</f>
        <v>9820.2380952380954</v>
      </c>
      <c r="F7" s="61">
        <f>X7/3</f>
        <v>412450</v>
      </c>
      <c r="G7" s="868"/>
      <c r="H7" s="59">
        <v>0.57999999999999996</v>
      </c>
      <c r="I7" s="60" t="s">
        <v>79</v>
      </c>
      <c r="J7" s="60">
        <v>50</v>
      </c>
      <c r="K7" s="60">
        <f>J7*G5</f>
        <v>0</v>
      </c>
      <c r="L7" s="62">
        <f>F7+K7</f>
        <v>412450</v>
      </c>
      <c r="M7" s="199" t="s">
        <v>74</v>
      </c>
      <c r="N7" s="854"/>
      <c r="O7" s="59">
        <f>Q7/61.09</f>
        <v>15.664766031176093</v>
      </c>
      <c r="P7" s="60" t="s">
        <v>73</v>
      </c>
      <c r="Q7" s="60">
        <f>R7/N5</f>
        <v>956.96055684454757</v>
      </c>
      <c r="R7" s="185">
        <f>X7/3</f>
        <v>412450</v>
      </c>
      <c r="S7" s="1090"/>
      <c r="T7" s="71">
        <f>V7/61.09</f>
        <v>675.15141594368959</v>
      </c>
      <c r="U7" s="60" t="s">
        <v>73</v>
      </c>
      <c r="V7" s="60">
        <f>W7/S5</f>
        <v>41245</v>
      </c>
      <c r="W7" s="61">
        <f>X7-F7-R7</f>
        <v>412450</v>
      </c>
      <c r="X7" s="69">
        <v>1237350</v>
      </c>
    </row>
    <row r="8" spans="1:26" s="51" customFormat="1" ht="3" customHeight="1" x14ac:dyDescent="0.25">
      <c r="A8" s="63"/>
      <c r="B8" s="64"/>
      <c r="C8" s="263"/>
      <c r="D8" s="263"/>
      <c r="E8" s="263"/>
      <c r="F8" s="263"/>
      <c r="G8" s="66"/>
      <c r="H8" s="263"/>
      <c r="I8" s="263"/>
      <c r="J8" s="263"/>
      <c r="K8" s="263"/>
      <c r="L8" s="67"/>
      <c r="M8" s="50"/>
      <c r="N8" s="64"/>
      <c r="O8" s="263"/>
      <c r="P8" s="263"/>
      <c r="Q8" s="263"/>
      <c r="R8" s="186"/>
      <c r="S8" s="265"/>
      <c r="T8" s="191"/>
      <c r="U8" s="263"/>
      <c r="V8" s="263"/>
      <c r="W8" s="263"/>
      <c r="X8" s="69"/>
    </row>
    <row r="9" spans="1:26" s="51" customFormat="1" ht="3.75" customHeight="1" thickBot="1" x14ac:dyDescent="0.3">
      <c r="A9" s="50"/>
      <c r="B9" s="50"/>
      <c r="C9" s="114"/>
      <c r="D9" s="114"/>
      <c r="E9" s="114"/>
      <c r="F9" s="115"/>
      <c r="G9" s="115"/>
      <c r="H9" s="115"/>
      <c r="I9" s="115"/>
      <c r="J9" s="115"/>
      <c r="K9" s="114"/>
      <c r="L9" s="129"/>
      <c r="M9" s="120"/>
      <c r="N9" s="50"/>
      <c r="O9" s="114"/>
      <c r="P9" s="114"/>
      <c r="Q9" s="114"/>
      <c r="R9" s="115"/>
      <c r="S9" s="233"/>
      <c r="T9" s="114"/>
      <c r="U9" s="114"/>
      <c r="V9" s="114"/>
      <c r="W9" s="115"/>
      <c r="X9" s="69"/>
    </row>
    <row r="10" spans="1:26" s="51" customFormat="1" ht="15.75" thickBot="1" x14ac:dyDescent="0.3">
      <c r="A10" s="175" t="s">
        <v>69</v>
      </c>
      <c r="B10" s="175"/>
      <c r="C10" s="176"/>
      <c r="D10" s="176"/>
      <c r="E10" s="176"/>
      <c r="F10" s="177">
        <f>F6+F7</f>
        <v>423511</v>
      </c>
      <c r="G10" s="130"/>
      <c r="H10" s="130"/>
      <c r="I10" s="130"/>
      <c r="J10" s="130"/>
      <c r="K10" s="130" t="e">
        <f>#REF!+#REF!</f>
        <v>#REF!</v>
      </c>
      <c r="L10" s="131" t="e">
        <f>F10+K10</f>
        <v>#REF!</v>
      </c>
      <c r="M10" s="121"/>
      <c r="N10" s="175"/>
      <c r="O10" s="176"/>
      <c r="P10" s="176"/>
      <c r="Q10" s="176"/>
      <c r="R10" s="182">
        <f>R6+R7</f>
        <v>423511</v>
      </c>
      <c r="S10" s="232"/>
      <c r="T10" s="192"/>
      <c r="U10" s="176"/>
      <c r="V10" s="176"/>
      <c r="W10" s="177">
        <f>W6+W7</f>
        <v>425828</v>
      </c>
      <c r="X10" s="69">
        <f>F10+R10+W10</f>
        <v>1272850</v>
      </c>
      <c r="Z10" s="69"/>
    </row>
    <row r="11" spans="1:26" s="51" customFormat="1" x14ac:dyDescent="0.25">
      <c r="A11" s="50"/>
      <c r="B11" s="50"/>
      <c r="C11" s="114"/>
      <c r="D11" s="114"/>
      <c r="E11" s="114"/>
      <c r="F11" s="114"/>
      <c r="G11" s="114"/>
      <c r="H11" s="114"/>
      <c r="I11" s="114"/>
      <c r="J11" s="114"/>
      <c r="K11" s="114"/>
      <c r="L11" s="132"/>
      <c r="M11" s="121"/>
      <c r="N11" s="121"/>
      <c r="O11" s="133" t="e">
        <f>L10</f>
        <v>#REF!</v>
      </c>
    </row>
    <row r="12" spans="1:26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28"/>
      <c r="M12" s="30"/>
      <c r="N12" s="30"/>
      <c r="O12" s="30"/>
      <c r="P12" s="30"/>
      <c r="X12" s="30"/>
    </row>
    <row r="13" spans="1:26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28"/>
      <c r="M13" s="30"/>
      <c r="N13" s="30"/>
      <c r="O13" s="30"/>
      <c r="P13" s="30"/>
    </row>
    <row r="14" spans="1:26" x14ac:dyDescent="0.25">
      <c r="L14" s="30"/>
      <c r="M14" s="30"/>
      <c r="N14" s="30"/>
      <c r="O14" s="30"/>
      <c r="P14" s="30"/>
    </row>
    <row r="15" spans="1:26" x14ac:dyDescent="0.25">
      <c r="L15" s="30"/>
      <c r="M15" s="30"/>
      <c r="N15" s="30"/>
      <c r="O15" s="30"/>
      <c r="P15" s="30"/>
    </row>
    <row r="16" spans="1:26" x14ac:dyDescent="0.25">
      <c r="L16" s="30"/>
      <c r="M16" s="30"/>
      <c r="N16" s="30"/>
      <c r="O16" s="30"/>
      <c r="P16" s="30"/>
    </row>
    <row r="17" spans="12:16" x14ac:dyDescent="0.25">
      <c r="L17" s="30"/>
      <c r="M17" s="30"/>
      <c r="N17" s="30"/>
      <c r="O17" s="30"/>
      <c r="P17" s="30"/>
    </row>
  </sheetData>
  <mergeCells count="9">
    <mergeCell ref="B5:B7"/>
    <mergeCell ref="G5:G7"/>
    <mergeCell ref="N5:N7"/>
    <mergeCell ref="S5:S7"/>
    <mergeCell ref="A1:W1"/>
    <mergeCell ref="C2:F2"/>
    <mergeCell ref="H2:K2"/>
    <mergeCell ref="O2:R2"/>
    <mergeCell ref="T2:W2"/>
  </mergeCells>
  <pageMargins left="0.25" right="0.25" top="0.75" bottom="0.75" header="0.3" footer="0.3"/>
  <pageSetup paperSize="9" scale="8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zoomScale="115" zoomScaleNormal="115" workbookViewId="0">
      <pane xSplit="1" ySplit="3" topLeftCell="B4" activePane="bottomRight" state="frozen"/>
      <selection activeCell="E5" sqref="E5"/>
      <selection pane="topRight" activeCell="E5" sqref="E5"/>
      <selection pane="bottomLeft" activeCell="E5" sqref="E5"/>
      <selection pane="bottomRight" activeCell="E16" sqref="E16"/>
    </sheetView>
  </sheetViews>
  <sheetFormatPr defaultRowHeight="15" x14ac:dyDescent="0.25"/>
  <cols>
    <col min="1" max="1" width="27" customWidth="1"/>
    <col min="2" max="2" width="9.140625" customWidth="1"/>
    <col min="3" max="3" width="13.7109375" customWidth="1"/>
    <col min="4" max="4" width="15.85546875" hidden="1" customWidth="1"/>
    <col min="5" max="5" width="11.28515625" customWidth="1"/>
    <col min="6" max="6" width="16.85546875" customWidth="1"/>
    <col min="7" max="7" width="9.140625" hidden="1" customWidth="1"/>
    <col min="8" max="10" width="12.140625" hidden="1" customWidth="1"/>
    <col min="11" max="11" width="9.140625" hidden="1" customWidth="1"/>
  </cols>
  <sheetData>
    <row r="1" spans="1:12" ht="89.25" customHeight="1" x14ac:dyDescent="0.25">
      <c r="A1" s="842" t="s">
        <v>114</v>
      </c>
      <c r="B1" s="842"/>
      <c r="C1" s="842"/>
      <c r="D1" s="842"/>
      <c r="E1" s="842"/>
      <c r="F1" s="842"/>
      <c r="G1" s="842"/>
      <c r="H1" s="842"/>
      <c r="I1" s="842"/>
      <c r="J1" s="842"/>
    </row>
    <row r="2" spans="1:12" s="51" customFormat="1" ht="48" customHeight="1" x14ac:dyDescent="0.25">
      <c r="A2" s="843" t="s">
        <v>47</v>
      </c>
      <c r="B2" s="845"/>
      <c r="C2" s="847" t="s">
        <v>38</v>
      </c>
      <c r="D2" s="847"/>
      <c r="E2" s="847"/>
      <c r="F2" s="847"/>
      <c r="G2" s="843" t="s">
        <v>48</v>
      </c>
      <c r="H2" s="848" t="s">
        <v>39</v>
      </c>
      <c r="I2" s="849"/>
      <c r="J2" s="849"/>
    </row>
    <row r="3" spans="1:12" s="51" customFormat="1" ht="61.5" customHeight="1" x14ac:dyDescent="0.25">
      <c r="A3" s="844"/>
      <c r="B3" s="846"/>
      <c r="C3" s="317" t="s">
        <v>49</v>
      </c>
      <c r="D3" s="318" t="s">
        <v>50</v>
      </c>
      <c r="E3" s="319" t="s">
        <v>185</v>
      </c>
      <c r="F3" s="319" t="s">
        <v>51</v>
      </c>
      <c r="G3" s="844"/>
      <c r="H3" s="317" t="s">
        <v>49</v>
      </c>
      <c r="I3" s="318" t="s">
        <v>50</v>
      </c>
      <c r="J3" s="319" t="s">
        <v>51</v>
      </c>
      <c r="K3" s="140" t="s">
        <v>52</v>
      </c>
    </row>
    <row r="4" spans="1:12" s="51" customFormat="1" x14ac:dyDescent="0.25">
      <c r="A4" s="320" t="s">
        <v>53</v>
      </c>
      <c r="B4" s="331">
        <v>125</v>
      </c>
      <c r="C4" s="321">
        <f>D4/B4</f>
        <v>1</v>
      </c>
      <c r="D4" s="321">
        <v>125</v>
      </c>
      <c r="E4" s="321">
        <f t="shared" ref="E4:E13" si="0">F4/B4</f>
        <v>600</v>
      </c>
      <c r="F4" s="322">
        <f>600*D4</f>
        <v>75000</v>
      </c>
      <c r="G4" s="840"/>
      <c r="H4" s="322"/>
      <c r="I4" s="322"/>
      <c r="J4" s="315">
        <f>I4*1100</f>
        <v>0</v>
      </c>
      <c r="K4" s="142">
        <v>600</v>
      </c>
      <c r="L4" s="51" t="s">
        <v>167</v>
      </c>
    </row>
    <row r="5" spans="1:12" s="51" customFormat="1" x14ac:dyDescent="0.25">
      <c r="A5" s="320" t="s">
        <v>54</v>
      </c>
      <c r="B5" s="331">
        <v>125</v>
      </c>
      <c r="C5" s="321">
        <f t="shared" ref="C5:C13" si="1">D5/B5</f>
        <v>1</v>
      </c>
      <c r="D5" s="321">
        <v>125</v>
      </c>
      <c r="E5" s="321">
        <f t="shared" si="0"/>
        <v>600</v>
      </c>
      <c r="F5" s="322">
        <f>600*D5</f>
        <v>75000</v>
      </c>
      <c r="G5" s="841"/>
      <c r="H5" s="322"/>
      <c r="I5" s="322"/>
      <c r="J5" s="315">
        <f>I5*350</f>
        <v>0</v>
      </c>
      <c r="K5" s="142">
        <v>500</v>
      </c>
      <c r="L5" s="51" t="s">
        <v>167</v>
      </c>
    </row>
    <row r="6" spans="1:12" s="51" customFormat="1" x14ac:dyDescent="0.25">
      <c r="A6" s="320" t="s">
        <v>55</v>
      </c>
      <c r="B6" s="331">
        <v>125</v>
      </c>
      <c r="C6" s="321">
        <f t="shared" si="1"/>
        <v>2.976</v>
      </c>
      <c r="D6" s="321">
        <v>372</v>
      </c>
      <c r="E6" s="321">
        <f t="shared" si="0"/>
        <v>148.80000000000001</v>
      </c>
      <c r="F6" s="322">
        <f>50*D6</f>
        <v>18600</v>
      </c>
      <c r="G6" s="841"/>
      <c r="H6" s="322"/>
      <c r="I6" s="322"/>
      <c r="J6" s="315">
        <f>I6*120</f>
        <v>0</v>
      </c>
      <c r="K6" s="142">
        <v>70</v>
      </c>
      <c r="L6" s="51" t="s">
        <v>168</v>
      </c>
    </row>
    <row r="7" spans="1:12" s="51" customFormat="1" ht="15" customHeight="1" x14ac:dyDescent="0.25">
      <c r="A7" s="323" t="s">
        <v>56</v>
      </c>
      <c r="B7" s="331">
        <v>125</v>
      </c>
      <c r="C7" s="321">
        <f t="shared" si="1"/>
        <v>0.16</v>
      </c>
      <c r="D7" s="321">
        <v>20</v>
      </c>
      <c r="E7" s="321">
        <f t="shared" si="0"/>
        <v>128</v>
      </c>
      <c r="F7" s="324">
        <f>800*D7</f>
        <v>16000</v>
      </c>
      <c r="G7" s="841"/>
      <c r="H7" s="324"/>
      <c r="I7" s="322"/>
      <c r="J7" s="315">
        <f>I7*950</f>
        <v>0</v>
      </c>
      <c r="K7" s="144">
        <v>600</v>
      </c>
      <c r="L7" s="51" t="s">
        <v>168</v>
      </c>
    </row>
    <row r="8" spans="1:12" s="51" customFormat="1" ht="33.75" customHeight="1" x14ac:dyDescent="0.25">
      <c r="A8" s="323" t="s">
        <v>57</v>
      </c>
      <c r="B8" s="331">
        <v>125</v>
      </c>
      <c r="C8" s="321">
        <f t="shared" si="1"/>
        <v>0.16</v>
      </c>
      <c r="D8" s="321">
        <v>20</v>
      </c>
      <c r="E8" s="321">
        <f t="shared" si="0"/>
        <v>128</v>
      </c>
      <c r="F8" s="324">
        <f>800*D8</f>
        <v>16000</v>
      </c>
      <c r="G8" s="841"/>
      <c r="H8" s="324"/>
      <c r="I8" s="322"/>
      <c r="J8" s="315">
        <f>I8*800</f>
        <v>0</v>
      </c>
      <c r="K8" s="144">
        <v>600</v>
      </c>
      <c r="L8" s="51" t="s">
        <v>168</v>
      </c>
    </row>
    <row r="9" spans="1:12" s="51" customFormat="1" x14ac:dyDescent="0.25">
      <c r="A9" s="325" t="s">
        <v>58</v>
      </c>
      <c r="B9" s="331">
        <v>125</v>
      </c>
      <c r="C9" s="321">
        <f t="shared" si="1"/>
        <v>1</v>
      </c>
      <c r="D9" s="321">
        <v>125</v>
      </c>
      <c r="E9" s="321">
        <f t="shared" si="0"/>
        <v>30</v>
      </c>
      <c r="F9" s="315">
        <f>30*D9</f>
        <v>3750</v>
      </c>
      <c r="G9" s="841"/>
      <c r="H9" s="326"/>
      <c r="I9" s="322"/>
      <c r="J9" s="315">
        <f>I9*25</f>
        <v>0</v>
      </c>
      <c r="K9" s="146">
        <v>7</v>
      </c>
      <c r="L9" s="51" t="s">
        <v>168</v>
      </c>
    </row>
    <row r="10" spans="1:12" s="51" customFormat="1" x14ac:dyDescent="0.25">
      <c r="A10" s="327" t="s">
        <v>59</v>
      </c>
      <c r="B10" s="331">
        <v>125</v>
      </c>
      <c r="C10" s="321">
        <f t="shared" si="1"/>
        <v>4</v>
      </c>
      <c r="D10" s="321">
        <v>500</v>
      </c>
      <c r="E10" s="321">
        <f t="shared" si="0"/>
        <v>120</v>
      </c>
      <c r="F10" s="315">
        <f>30*D10</f>
        <v>15000</v>
      </c>
      <c r="G10" s="841"/>
      <c r="H10" s="326"/>
      <c r="I10" s="322"/>
      <c r="J10" s="315">
        <f>I10*45</f>
        <v>0</v>
      </c>
      <c r="K10" s="146">
        <v>170</v>
      </c>
      <c r="L10" s="51" t="s">
        <v>168</v>
      </c>
    </row>
    <row r="11" spans="1:12" s="51" customFormat="1" x14ac:dyDescent="0.25">
      <c r="A11" s="327" t="s">
        <v>60</v>
      </c>
      <c r="B11" s="331">
        <v>125</v>
      </c>
      <c r="C11" s="321">
        <f t="shared" si="1"/>
        <v>4</v>
      </c>
      <c r="D11" s="321">
        <v>500</v>
      </c>
      <c r="E11" s="321">
        <f t="shared" si="0"/>
        <v>120</v>
      </c>
      <c r="F11" s="328">
        <f>30*D11</f>
        <v>15000</v>
      </c>
      <c r="G11" s="841"/>
      <c r="H11" s="329"/>
      <c r="I11" s="322"/>
      <c r="J11" s="328">
        <f>I11*40</f>
        <v>0</v>
      </c>
      <c r="K11" s="147">
        <v>15</v>
      </c>
      <c r="L11" s="51" t="s">
        <v>168</v>
      </c>
    </row>
    <row r="12" spans="1:12" s="51" customFormat="1" x14ac:dyDescent="0.25">
      <c r="A12" s="327" t="s">
        <v>61</v>
      </c>
      <c r="B12" s="331">
        <v>125</v>
      </c>
      <c r="C12" s="321">
        <f t="shared" si="1"/>
        <v>0.4</v>
      </c>
      <c r="D12" s="321">
        <v>50</v>
      </c>
      <c r="E12" s="321">
        <f t="shared" si="0"/>
        <v>16</v>
      </c>
      <c r="F12" s="328">
        <f>40*D12</f>
        <v>2000</v>
      </c>
      <c r="G12" s="841"/>
      <c r="H12" s="329"/>
      <c r="I12" s="322"/>
      <c r="J12" s="328">
        <f>I12*60</f>
        <v>0</v>
      </c>
      <c r="K12" s="147">
        <v>30</v>
      </c>
      <c r="L12" s="51" t="s">
        <v>168</v>
      </c>
    </row>
    <row r="13" spans="1:12" s="51" customFormat="1" x14ac:dyDescent="0.25">
      <c r="A13" s="327" t="s">
        <v>62</v>
      </c>
      <c r="B13" s="331">
        <v>125</v>
      </c>
      <c r="C13" s="321">
        <f t="shared" si="1"/>
        <v>0.08</v>
      </c>
      <c r="D13" s="321">
        <v>10</v>
      </c>
      <c r="E13" s="321">
        <f t="shared" si="0"/>
        <v>8</v>
      </c>
      <c r="F13" s="328">
        <f>100*D13</f>
        <v>1000</v>
      </c>
      <c r="G13" s="841"/>
      <c r="H13" s="329"/>
      <c r="I13" s="322"/>
      <c r="J13" s="328">
        <f>I13*180</f>
        <v>0</v>
      </c>
      <c r="K13" s="147">
        <v>80</v>
      </c>
      <c r="L13" s="51" t="s">
        <v>168</v>
      </c>
    </row>
    <row r="14" spans="1:12" s="51" customFormat="1" x14ac:dyDescent="0.25">
      <c r="A14" s="327"/>
      <c r="B14" s="331"/>
      <c r="C14" s="147"/>
      <c r="D14" s="321"/>
      <c r="E14" s="333"/>
      <c r="F14" s="328"/>
      <c r="G14" s="330"/>
      <c r="H14" s="329"/>
      <c r="I14" s="322"/>
      <c r="J14" s="328"/>
      <c r="K14" s="148"/>
    </row>
    <row r="15" spans="1:12" s="51" customFormat="1" x14ac:dyDescent="0.25">
      <c r="A15" s="327"/>
      <c r="B15" s="332"/>
      <c r="C15" s="147"/>
      <c r="D15" s="321"/>
      <c r="E15" s="333"/>
      <c r="F15" s="328"/>
      <c r="G15" s="330"/>
      <c r="H15" s="329"/>
      <c r="I15" s="322"/>
      <c r="J15" s="328"/>
      <c r="K15" s="148"/>
    </row>
    <row r="16" spans="1:12" s="51" customFormat="1" x14ac:dyDescent="0.25">
      <c r="A16" s="325" t="s">
        <v>63</v>
      </c>
      <c r="B16" s="325"/>
      <c r="C16" s="314"/>
      <c r="D16" s="314"/>
      <c r="E16" s="522">
        <f>E4+E5+E6+E7+E8+E9+E10+E11+E12+E13</f>
        <v>1898.8</v>
      </c>
      <c r="F16" s="315">
        <f>F4+F5+F6+F7+F8+F9+F10+F11+F12+F13</f>
        <v>237350</v>
      </c>
      <c r="G16" s="314"/>
      <c r="H16" s="314"/>
      <c r="I16" s="314"/>
      <c r="J16" s="315">
        <f>J4+J5+J6+J7+J8+J9+J10+J11+J12+J13</f>
        <v>0</v>
      </c>
    </row>
    <row r="17" spans="1:10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28">
        <f>F16+J16</f>
        <v>237350</v>
      </c>
    </row>
    <row r="18" spans="1:10" x14ac:dyDescent="0.25">
      <c r="A18" s="32"/>
      <c r="B18" s="28"/>
      <c r="C18" s="316"/>
      <c r="D18" s="32"/>
      <c r="E18" s="32"/>
      <c r="F18" s="32"/>
      <c r="G18" s="32"/>
      <c r="H18" s="32"/>
      <c r="I18" s="32"/>
      <c r="J18" s="28"/>
    </row>
    <row r="19" spans="1:10" x14ac:dyDescent="0.25">
      <c r="A19" s="32"/>
      <c r="B19" s="32"/>
      <c r="C19" s="32"/>
      <c r="D19" s="32"/>
      <c r="E19" s="32"/>
      <c r="F19" s="32"/>
      <c r="G19" s="32"/>
      <c r="H19" s="32"/>
      <c r="I19" s="32"/>
      <c r="J19" s="28"/>
    </row>
    <row r="20" spans="1:10" x14ac:dyDescent="0.25">
      <c r="A20" s="32"/>
      <c r="B20" s="32"/>
      <c r="C20" s="32"/>
      <c r="D20" s="32"/>
      <c r="E20" s="32"/>
      <c r="F20" s="32"/>
      <c r="G20" s="32"/>
      <c r="H20" s="32"/>
      <c r="I20" s="32"/>
      <c r="J20" s="28"/>
    </row>
    <row r="21" spans="1:10" x14ac:dyDescent="0.25">
      <c r="A21" s="32"/>
      <c r="B21" s="32"/>
      <c r="C21" s="32"/>
      <c r="D21" s="32"/>
      <c r="E21" s="32"/>
      <c r="F21" s="32"/>
      <c r="G21" s="32"/>
      <c r="H21" s="32"/>
      <c r="I21" s="32"/>
      <c r="J21" s="32"/>
    </row>
  </sheetData>
  <mergeCells count="7">
    <mergeCell ref="G4:G13"/>
    <mergeCell ref="A1:J1"/>
    <mergeCell ref="A2:A3"/>
    <mergeCell ref="B2:B3"/>
    <mergeCell ref="C2:F2"/>
    <mergeCell ref="G2:G3"/>
    <mergeCell ref="H2:J2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52"/>
  <sheetViews>
    <sheetView zoomScale="85" zoomScaleNormal="85" workbookViewId="0">
      <pane xSplit="1" ySplit="2" topLeftCell="B36" activePane="bottomRight" state="frozen"/>
      <selection activeCell="E5" sqref="E5"/>
      <selection pane="topRight" activeCell="E5" sqref="E5"/>
      <selection pane="bottomLeft" activeCell="E5" sqref="E5"/>
      <selection pane="bottomRight" activeCell="Q44" sqref="Q44"/>
    </sheetView>
  </sheetViews>
  <sheetFormatPr defaultRowHeight="15" x14ac:dyDescent="0.25"/>
  <cols>
    <col min="1" max="1" width="35.28515625" customWidth="1"/>
    <col min="2" max="2" width="7.28515625" customWidth="1"/>
    <col min="3" max="3" width="11.28515625" customWidth="1"/>
    <col min="4" max="4" width="8.28515625" customWidth="1"/>
    <col min="5" max="5" width="9.85546875" customWidth="1"/>
    <col min="6" max="6" width="16.7109375" customWidth="1"/>
    <col min="7" max="7" width="6.85546875" hidden="1" customWidth="1"/>
    <col min="8" max="8" width="11.5703125" hidden="1" customWidth="1"/>
    <col min="9" max="9" width="7.85546875" hidden="1" customWidth="1"/>
    <col min="10" max="10" width="9.28515625" hidden="1" customWidth="1"/>
    <col min="11" max="11" width="13" hidden="1" customWidth="1"/>
    <col min="12" max="13" width="12.7109375" hidden="1" customWidth="1"/>
    <col min="14" max="14" width="12.7109375" bestFit="1" customWidth="1"/>
    <col min="15" max="15" width="13.28515625" customWidth="1"/>
    <col min="20" max="20" width="11.7109375" bestFit="1" customWidth="1"/>
  </cols>
  <sheetData>
    <row r="1" spans="1:15" ht="81" customHeight="1" thickBot="1" x14ac:dyDescent="0.3">
      <c r="A1" s="875" t="s">
        <v>115</v>
      </c>
      <c r="B1" s="875"/>
      <c r="C1" s="875"/>
      <c r="D1" s="875"/>
      <c r="E1" s="875"/>
      <c r="F1" s="875"/>
      <c r="G1" s="875"/>
      <c r="H1" s="875"/>
      <c r="I1" s="875"/>
      <c r="J1" s="875"/>
      <c r="K1" s="875"/>
      <c r="L1" s="875"/>
      <c r="M1" s="32"/>
    </row>
    <row r="2" spans="1:15" ht="42" customHeight="1" thickBot="1" x14ac:dyDescent="0.3">
      <c r="A2" s="33"/>
      <c r="B2" s="34" t="s">
        <v>64</v>
      </c>
      <c r="C2" s="876" t="s">
        <v>38</v>
      </c>
      <c r="D2" s="877"/>
      <c r="E2" s="877"/>
      <c r="F2" s="878"/>
      <c r="G2" s="34" t="s">
        <v>64</v>
      </c>
      <c r="H2" s="876" t="s">
        <v>39</v>
      </c>
      <c r="I2" s="877"/>
      <c r="J2" s="877"/>
      <c r="K2" s="878"/>
      <c r="L2" s="35"/>
      <c r="M2" s="36" t="s">
        <v>65</v>
      </c>
      <c r="N2" s="37"/>
    </row>
    <row r="3" spans="1:15" ht="12" customHeight="1" thickBot="1" x14ac:dyDescent="0.3">
      <c r="A3" s="38">
        <v>1</v>
      </c>
      <c r="B3" s="39">
        <v>2</v>
      </c>
      <c r="C3" s="39">
        <v>3</v>
      </c>
      <c r="D3" s="39">
        <v>4</v>
      </c>
      <c r="E3" s="39">
        <v>5</v>
      </c>
      <c r="F3" s="39">
        <v>6</v>
      </c>
      <c r="G3" s="39">
        <v>7</v>
      </c>
      <c r="H3" s="39">
        <v>8</v>
      </c>
      <c r="I3" s="39">
        <v>9</v>
      </c>
      <c r="J3" s="39">
        <v>10</v>
      </c>
      <c r="K3" s="39">
        <v>11</v>
      </c>
      <c r="L3" s="40">
        <v>12</v>
      </c>
      <c r="M3" s="32"/>
    </row>
    <row r="4" spans="1:15" ht="42" customHeight="1" thickBot="1" x14ac:dyDescent="0.3">
      <c r="A4" s="41"/>
      <c r="B4" s="42"/>
      <c r="C4" s="42" t="s">
        <v>66</v>
      </c>
      <c r="D4" s="42" t="s">
        <v>67</v>
      </c>
      <c r="E4" s="42" t="s">
        <v>68</v>
      </c>
      <c r="F4" s="42" t="s">
        <v>69</v>
      </c>
      <c r="G4" s="42"/>
      <c r="H4" s="42" t="s">
        <v>66</v>
      </c>
      <c r="I4" s="42" t="s">
        <v>67</v>
      </c>
      <c r="J4" s="43" t="s">
        <v>68</v>
      </c>
      <c r="K4" s="43" t="s">
        <v>69</v>
      </c>
      <c r="L4" s="44" t="s">
        <v>70</v>
      </c>
      <c r="M4" s="32"/>
    </row>
    <row r="5" spans="1:15" s="51" customFormat="1" x14ac:dyDescent="0.25">
      <c r="A5" s="45" t="s">
        <v>71</v>
      </c>
      <c r="B5" s="852">
        <v>125</v>
      </c>
      <c r="C5" s="46"/>
      <c r="D5" s="47"/>
      <c r="E5" s="47"/>
      <c r="F5" s="347">
        <f>F6+F7+F8</f>
        <v>138000</v>
      </c>
      <c r="G5" s="866"/>
      <c r="H5" s="46"/>
      <c r="I5" s="47"/>
      <c r="J5" s="47"/>
      <c r="K5" s="47">
        <f>K6+K7+K8</f>
        <v>0</v>
      </c>
      <c r="L5" s="49">
        <f>F5+K5</f>
        <v>138000</v>
      </c>
      <c r="M5" s="50"/>
    </row>
    <row r="6" spans="1:15" s="51" customFormat="1" x14ac:dyDescent="0.25">
      <c r="A6" s="52" t="s">
        <v>72</v>
      </c>
      <c r="B6" s="853"/>
      <c r="C6" s="53">
        <f>7.85/125</f>
        <v>6.2799999999999995E-2</v>
      </c>
      <c r="D6" s="54" t="s">
        <v>73</v>
      </c>
      <c r="E6" s="54">
        <f>F6/125</f>
        <v>480</v>
      </c>
      <c r="F6" s="55">
        <v>60000</v>
      </c>
      <c r="G6" s="867"/>
      <c r="H6" s="53">
        <v>0.04</v>
      </c>
      <c r="I6" s="54" t="s">
        <v>73</v>
      </c>
      <c r="J6" s="54">
        <v>439.6</v>
      </c>
      <c r="K6" s="54">
        <f>J6*G5</f>
        <v>0</v>
      </c>
      <c r="L6" s="56">
        <f>F6+K6</f>
        <v>60000</v>
      </c>
      <c r="M6" s="50" t="s">
        <v>74</v>
      </c>
      <c r="O6" s="57"/>
    </row>
    <row r="7" spans="1:15" s="51" customFormat="1" ht="25.5" x14ac:dyDescent="0.25">
      <c r="A7" s="52" t="s">
        <v>75</v>
      </c>
      <c r="B7" s="853"/>
      <c r="C7" s="53">
        <f>8140/125</f>
        <v>65.12</v>
      </c>
      <c r="D7" s="54" t="s">
        <v>76</v>
      </c>
      <c r="E7" s="54">
        <f>F7/125</f>
        <v>560</v>
      </c>
      <c r="F7" s="55">
        <v>70000</v>
      </c>
      <c r="G7" s="867"/>
      <c r="H7" s="53">
        <v>38.49</v>
      </c>
      <c r="I7" s="54" t="s">
        <v>76</v>
      </c>
      <c r="J7" s="54">
        <v>460.4</v>
      </c>
      <c r="K7" s="54">
        <f>J7*G5</f>
        <v>0</v>
      </c>
      <c r="L7" s="56">
        <f>F7+K7</f>
        <v>70000</v>
      </c>
      <c r="M7" s="50" t="s">
        <v>77</v>
      </c>
      <c r="O7" s="57"/>
    </row>
    <row r="8" spans="1:15" s="51" customFormat="1" ht="15.75" thickBot="1" x14ac:dyDescent="0.3">
      <c r="A8" s="58" t="s">
        <v>78</v>
      </c>
      <c r="B8" s="854"/>
      <c r="C8" s="59">
        <f>120/125</f>
        <v>0.96</v>
      </c>
      <c r="D8" s="60" t="s">
        <v>73</v>
      </c>
      <c r="E8" s="60">
        <f>F8/125</f>
        <v>64</v>
      </c>
      <c r="F8" s="61">
        <v>8000</v>
      </c>
      <c r="G8" s="868"/>
      <c r="H8" s="59">
        <v>0.57999999999999996</v>
      </c>
      <c r="I8" s="60" t="s">
        <v>79</v>
      </c>
      <c r="J8" s="60">
        <v>50</v>
      </c>
      <c r="K8" s="60">
        <f>J8*G5</f>
        <v>0</v>
      </c>
      <c r="L8" s="62">
        <f>F8+K8</f>
        <v>8000</v>
      </c>
      <c r="M8" s="50" t="s">
        <v>74</v>
      </c>
      <c r="O8" s="57"/>
    </row>
    <row r="9" spans="1:15" s="51" customFormat="1" ht="3" customHeight="1" thickBot="1" x14ac:dyDescent="0.3">
      <c r="A9" s="63"/>
      <c r="B9" s="64"/>
      <c r="C9" s="65"/>
      <c r="D9" s="65"/>
      <c r="E9" s="65"/>
      <c r="F9" s="65"/>
      <c r="G9" s="66"/>
      <c r="H9" s="65"/>
      <c r="I9" s="65"/>
      <c r="J9" s="65"/>
      <c r="K9" s="65"/>
      <c r="L9" s="67"/>
      <c r="M9" s="50"/>
      <c r="O9" s="57"/>
    </row>
    <row r="10" spans="1:15" s="51" customFormat="1" ht="38.25" x14ac:dyDescent="0.25">
      <c r="A10" s="134" t="s">
        <v>80</v>
      </c>
      <c r="B10" s="869">
        <v>125</v>
      </c>
      <c r="C10" s="47"/>
      <c r="D10" s="47"/>
      <c r="E10" s="47"/>
      <c r="F10" s="347">
        <f>F11+F12+F13+F14+F15</f>
        <v>133645</v>
      </c>
      <c r="G10" s="872"/>
      <c r="H10" s="68"/>
      <c r="I10" s="47"/>
      <c r="J10" s="47"/>
      <c r="K10" s="47" t="e">
        <f>K11+K12+K13+#REF!+K14+K15</f>
        <v>#REF!</v>
      </c>
      <c r="L10" s="49" t="e">
        <f>L11+L12+L13+#REF!+L14+L15</f>
        <v>#REF!</v>
      </c>
      <c r="M10" s="50"/>
      <c r="O10" s="57"/>
    </row>
    <row r="11" spans="1:15" s="51" customFormat="1" ht="76.5" x14ac:dyDescent="0.25">
      <c r="A11" s="135" t="s">
        <v>81</v>
      </c>
      <c r="B11" s="870"/>
      <c r="C11" s="54">
        <f>4/125</f>
        <v>3.2000000000000001E-2</v>
      </c>
      <c r="D11" s="54" t="s">
        <v>82</v>
      </c>
      <c r="E11" s="54">
        <f>F11/125</f>
        <v>280</v>
      </c>
      <c r="F11" s="55">
        <v>35000</v>
      </c>
      <c r="G11" s="873"/>
      <c r="H11" s="70">
        <v>4</v>
      </c>
      <c r="I11" s="54" t="s">
        <v>82</v>
      </c>
      <c r="J11" s="54">
        <v>191.2</v>
      </c>
      <c r="K11" s="54">
        <f>J11*G10</f>
        <v>0</v>
      </c>
      <c r="L11" s="56">
        <f t="shared" ref="L11:L15" si="0">F11+K11</f>
        <v>35000</v>
      </c>
      <c r="M11" s="50"/>
      <c r="O11" s="57"/>
    </row>
    <row r="12" spans="1:15" s="51" customFormat="1" ht="30.75" customHeight="1" x14ac:dyDescent="0.25">
      <c r="A12" s="135" t="s">
        <v>83</v>
      </c>
      <c r="B12" s="870"/>
      <c r="C12" s="54">
        <f>1/125</f>
        <v>8.0000000000000002E-3</v>
      </c>
      <c r="D12" s="54" t="s">
        <v>82</v>
      </c>
      <c r="E12" s="54">
        <f>F12/125</f>
        <v>480</v>
      </c>
      <c r="F12" s="55">
        <v>60000</v>
      </c>
      <c r="G12" s="873"/>
      <c r="H12" s="70">
        <v>1</v>
      </c>
      <c r="I12" s="54" t="s">
        <v>82</v>
      </c>
      <c r="J12" s="54">
        <v>126.4</v>
      </c>
      <c r="K12" s="54">
        <f>J12*G10</f>
        <v>0</v>
      </c>
      <c r="L12" s="56">
        <f t="shared" si="0"/>
        <v>60000</v>
      </c>
      <c r="M12" s="50"/>
      <c r="O12" s="57"/>
    </row>
    <row r="13" spans="1:15" s="51" customFormat="1" ht="24" customHeight="1" x14ac:dyDescent="0.25">
      <c r="A13" s="135" t="s">
        <v>84</v>
      </c>
      <c r="B13" s="870"/>
      <c r="C13" s="54">
        <f>1/125</f>
        <v>8.0000000000000002E-3</v>
      </c>
      <c r="D13" s="54" t="s">
        <v>82</v>
      </c>
      <c r="E13" s="54">
        <f>F13/125</f>
        <v>268.8</v>
      </c>
      <c r="F13" s="55">
        <v>33600</v>
      </c>
      <c r="G13" s="873"/>
      <c r="H13" s="70">
        <v>1</v>
      </c>
      <c r="I13" s="54" t="s">
        <v>82</v>
      </c>
      <c r="J13" s="54">
        <v>34.799999999999997</v>
      </c>
      <c r="K13" s="54">
        <f>J13*G10</f>
        <v>0</v>
      </c>
      <c r="L13" s="56">
        <f t="shared" si="0"/>
        <v>33600</v>
      </c>
      <c r="M13" s="50"/>
      <c r="O13" s="57"/>
    </row>
    <row r="14" spans="1:15" s="51" customFormat="1" ht="25.5" x14ac:dyDescent="0.25">
      <c r="A14" s="135" t="s">
        <v>85</v>
      </c>
      <c r="B14" s="870"/>
      <c r="C14" s="54">
        <f>1/125</f>
        <v>8.0000000000000002E-3</v>
      </c>
      <c r="D14" s="54" t="s">
        <v>82</v>
      </c>
      <c r="E14" s="54">
        <f>F14/B10</f>
        <v>40.36</v>
      </c>
      <c r="F14" s="55">
        <v>5045</v>
      </c>
      <c r="G14" s="873"/>
      <c r="H14" s="70">
        <v>1</v>
      </c>
      <c r="I14" s="54" t="s">
        <v>82</v>
      </c>
      <c r="J14" s="54">
        <v>48</v>
      </c>
      <c r="K14" s="54">
        <f>J14*G10</f>
        <v>0</v>
      </c>
      <c r="L14" s="56">
        <f t="shared" si="0"/>
        <v>5045</v>
      </c>
      <c r="M14" s="50"/>
      <c r="O14" s="57"/>
    </row>
    <row r="15" spans="1:15" s="51" customFormat="1" ht="26.25" thickBot="1" x14ac:dyDescent="0.3">
      <c r="A15" s="136" t="s">
        <v>86</v>
      </c>
      <c r="B15" s="871"/>
      <c r="C15" s="60">
        <f>F15/85</f>
        <v>0</v>
      </c>
      <c r="D15" s="60" t="s">
        <v>87</v>
      </c>
      <c r="E15" s="60">
        <f>F15/125</f>
        <v>0</v>
      </c>
      <c r="F15" s="61"/>
      <c r="G15" s="874"/>
      <c r="H15" s="71">
        <f>K15/40</f>
        <v>0</v>
      </c>
      <c r="I15" s="60" t="s">
        <v>87</v>
      </c>
      <c r="J15" s="60"/>
      <c r="K15" s="60"/>
      <c r="L15" s="62">
        <f t="shared" si="0"/>
        <v>0</v>
      </c>
      <c r="M15" s="50"/>
      <c r="O15" s="57"/>
    </row>
    <row r="16" spans="1:15" s="51" customFormat="1" ht="2.25" customHeight="1" thickBot="1" x14ac:dyDescent="0.3">
      <c r="A16" s="63"/>
      <c r="B16" s="64"/>
      <c r="C16" s="65"/>
      <c r="D16" s="65"/>
      <c r="E16" s="65"/>
      <c r="F16" s="65"/>
      <c r="G16" s="66"/>
      <c r="H16" s="65"/>
      <c r="I16" s="65"/>
      <c r="J16" s="65"/>
      <c r="K16" s="65"/>
      <c r="L16" s="72"/>
      <c r="M16" s="50"/>
      <c r="O16" s="57"/>
    </row>
    <row r="17" spans="1:15" s="51" customFormat="1" ht="25.5" x14ac:dyDescent="0.25">
      <c r="A17" s="73" t="s">
        <v>88</v>
      </c>
      <c r="B17" s="852">
        <v>125</v>
      </c>
      <c r="C17" s="74"/>
      <c r="D17" s="75"/>
      <c r="E17" s="75"/>
      <c r="F17" s="76"/>
      <c r="G17" s="866"/>
      <c r="H17" s="74"/>
      <c r="I17" s="75"/>
      <c r="J17" s="75"/>
      <c r="K17" s="75"/>
      <c r="L17" s="77"/>
      <c r="M17" s="50"/>
      <c r="O17" s="57"/>
    </row>
    <row r="18" spans="1:15" s="51" customFormat="1" x14ac:dyDescent="0.25">
      <c r="A18" s="52" t="s">
        <v>89</v>
      </c>
      <c r="B18" s="853"/>
      <c r="C18" s="53"/>
      <c r="D18" s="54"/>
      <c r="E18" s="54"/>
      <c r="F18" s="55"/>
      <c r="G18" s="867"/>
      <c r="H18" s="53"/>
      <c r="I18" s="54"/>
      <c r="J18" s="54"/>
      <c r="K18" s="54"/>
      <c r="L18" s="56"/>
      <c r="M18" s="50"/>
      <c r="O18" s="57"/>
    </row>
    <row r="19" spans="1:15" s="51" customFormat="1" ht="26.25" thickBot="1" x14ac:dyDescent="0.3">
      <c r="A19" s="58" t="s">
        <v>90</v>
      </c>
      <c r="B19" s="854"/>
      <c r="C19" s="59"/>
      <c r="D19" s="60"/>
      <c r="E19" s="60"/>
      <c r="F19" s="61"/>
      <c r="G19" s="868"/>
      <c r="H19" s="59"/>
      <c r="I19" s="60"/>
      <c r="J19" s="60"/>
      <c r="K19" s="60"/>
      <c r="L19" s="62"/>
      <c r="M19" s="50"/>
      <c r="O19" s="57"/>
    </row>
    <row r="20" spans="1:15" s="51" customFormat="1" ht="2.25" customHeight="1" thickBot="1" x14ac:dyDescent="0.3">
      <c r="A20" s="78"/>
      <c r="B20" s="79"/>
      <c r="C20" s="65"/>
      <c r="D20" s="65"/>
      <c r="E20" s="65"/>
      <c r="F20" s="65"/>
      <c r="G20" s="66"/>
      <c r="H20" s="65"/>
      <c r="I20" s="65"/>
      <c r="J20" s="65"/>
      <c r="K20" s="65"/>
      <c r="L20" s="72"/>
      <c r="M20" s="50"/>
      <c r="O20" s="57"/>
    </row>
    <row r="21" spans="1:15" s="51" customFormat="1" ht="15" customHeight="1" x14ac:dyDescent="0.25">
      <c r="A21" s="80" t="s">
        <v>91</v>
      </c>
      <c r="B21" s="852">
        <v>125</v>
      </c>
      <c r="C21" s="81"/>
      <c r="D21" s="82"/>
      <c r="E21" s="82"/>
      <c r="F21" s="348">
        <f>F22+F23</f>
        <v>50000</v>
      </c>
      <c r="G21" s="866"/>
      <c r="H21" s="81"/>
      <c r="I21" s="82"/>
      <c r="J21" s="82"/>
      <c r="K21" s="82">
        <f>K22+K23</f>
        <v>0</v>
      </c>
      <c r="L21" s="84">
        <f>L22+L23</f>
        <v>50000</v>
      </c>
      <c r="M21" s="50"/>
      <c r="O21" s="57"/>
    </row>
    <row r="22" spans="1:15" s="51" customFormat="1" ht="27" customHeight="1" x14ac:dyDescent="0.25">
      <c r="A22" s="85" t="s">
        <v>92</v>
      </c>
      <c r="B22" s="853"/>
      <c r="C22" s="53">
        <f>1000/125</f>
        <v>8</v>
      </c>
      <c r="D22" s="54" t="s">
        <v>94</v>
      </c>
      <c r="E22" s="54">
        <f>F22/125</f>
        <v>240</v>
      </c>
      <c r="F22" s="86">
        <v>30000</v>
      </c>
      <c r="G22" s="867"/>
      <c r="H22" s="53" t="s">
        <v>93</v>
      </c>
      <c r="I22" s="54" t="s">
        <v>94</v>
      </c>
      <c r="J22" s="54">
        <v>320</v>
      </c>
      <c r="K22" s="87">
        <f>J22*G21</f>
        <v>0</v>
      </c>
      <c r="L22" s="56">
        <f>F22+K22</f>
        <v>30000</v>
      </c>
      <c r="M22" s="50"/>
      <c r="O22" s="57"/>
    </row>
    <row r="23" spans="1:15" s="51" customFormat="1" ht="24.75" customHeight="1" thickBot="1" x14ac:dyDescent="0.3">
      <c r="A23" s="88" t="s">
        <v>95</v>
      </c>
      <c r="B23" s="854"/>
      <c r="C23" s="59">
        <f>2000/125</f>
        <v>16</v>
      </c>
      <c r="D23" s="60" t="s">
        <v>96</v>
      </c>
      <c r="E23" s="60">
        <f>F23/125</f>
        <v>160</v>
      </c>
      <c r="F23" s="89">
        <v>20000</v>
      </c>
      <c r="G23" s="868"/>
      <c r="H23" s="59" t="s">
        <v>93</v>
      </c>
      <c r="I23" s="60" t="s">
        <v>96</v>
      </c>
      <c r="J23" s="60">
        <v>80</v>
      </c>
      <c r="K23" s="90">
        <f>J23*G21</f>
        <v>0</v>
      </c>
      <c r="L23" s="62">
        <f>F23+K23</f>
        <v>20000</v>
      </c>
      <c r="M23" s="50"/>
      <c r="O23" s="57"/>
    </row>
    <row r="24" spans="1:15" s="51" customFormat="1" ht="2.25" customHeight="1" thickBot="1" x14ac:dyDescent="0.3">
      <c r="A24" s="91"/>
      <c r="B24" s="64"/>
      <c r="C24" s="65"/>
      <c r="D24" s="65"/>
      <c r="E24" s="65"/>
      <c r="F24" s="92"/>
      <c r="G24" s="66"/>
      <c r="H24" s="65"/>
      <c r="I24" s="65"/>
      <c r="J24" s="65"/>
      <c r="K24" s="92"/>
      <c r="L24" s="72"/>
      <c r="M24" s="50"/>
      <c r="O24" s="57"/>
    </row>
    <row r="25" spans="1:15" s="51" customFormat="1" ht="75" customHeight="1" x14ac:dyDescent="0.25">
      <c r="A25" s="93" t="s">
        <v>97</v>
      </c>
      <c r="B25" s="852">
        <v>125</v>
      </c>
      <c r="C25" s="46"/>
      <c r="D25" s="75"/>
      <c r="E25" s="47"/>
      <c r="F25" s="349">
        <f>F26+F27</f>
        <v>1816879</v>
      </c>
      <c r="G25" s="866"/>
      <c r="H25" s="46"/>
      <c r="I25" s="47"/>
      <c r="J25" s="47"/>
      <c r="K25" s="94">
        <f>K26+K27</f>
        <v>0</v>
      </c>
      <c r="L25" s="49">
        <f>L26+L27</f>
        <v>1816879</v>
      </c>
      <c r="M25" s="95"/>
      <c r="O25" s="57"/>
    </row>
    <row r="26" spans="1:15" s="51" customFormat="1" ht="31.5" customHeight="1" x14ac:dyDescent="0.25">
      <c r="A26" s="96" t="s">
        <v>98</v>
      </c>
      <c r="B26" s="853"/>
      <c r="C26" s="53">
        <v>87.61</v>
      </c>
      <c r="D26" s="54" t="s">
        <v>99</v>
      </c>
      <c r="E26" s="54">
        <f>F26/125</f>
        <v>8415.1200000000008</v>
      </c>
      <c r="F26" s="56">
        <v>1051890</v>
      </c>
      <c r="G26" s="867"/>
      <c r="H26" s="53">
        <f>J26/40</f>
        <v>132.17500000000001</v>
      </c>
      <c r="I26" s="54" t="s">
        <v>99</v>
      </c>
      <c r="J26" s="54">
        <v>5287</v>
      </c>
      <c r="K26" s="97">
        <f>J26*G25</f>
        <v>0</v>
      </c>
      <c r="L26" s="56">
        <f>F26+K26</f>
        <v>1051890</v>
      </c>
      <c r="M26" s="95"/>
      <c r="O26" s="57"/>
    </row>
    <row r="27" spans="1:15" s="51" customFormat="1" ht="31.5" customHeight="1" thickBot="1" x14ac:dyDescent="0.3">
      <c r="A27" s="98" t="s">
        <v>100</v>
      </c>
      <c r="B27" s="854"/>
      <c r="C27" s="59">
        <v>78.72</v>
      </c>
      <c r="D27" s="60" t="s">
        <v>99</v>
      </c>
      <c r="E27" s="60">
        <f>F27/125</f>
        <v>6119.9120000000003</v>
      </c>
      <c r="F27" s="62">
        <v>764989</v>
      </c>
      <c r="G27" s="868"/>
      <c r="H27" s="59">
        <v>78.72</v>
      </c>
      <c r="I27" s="60" t="s">
        <v>99</v>
      </c>
      <c r="J27" s="60">
        <v>5943.77</v>
      </c>
      <c r="K27" s="99">
        <f>J27*G25</f>
        <v>0</v>
      </c>
      <c r="L27" s="62">
        <f>F27+K27</f>
        <v>764989</v>
      </c>
      <c r="M27" s="95"/>
      <c r="O27" s="57"/>
    </row>
    <row r="28" spans="1:15" s="51" customFormat="1" ht="3" customHeight="1" thickBot="1" x14ac:dyDescent="0.3">
      <c r="A28" s="100"/>
      <c r="B28" s="64"/>
      <c r="C28" s="65"/>
      <c r="D28" s="65"/>
      <c r="E28" s="65"/>
      <c r="F28" s="72"/>
      <c r="G28" s="66"/>
      <c r="H28" s="65"/>
      <c r="I28" s="65"/>
      <c r="J28" s="65"/>
      <c r="K28" s="72"/>
      <c r="L28" s="72"/>
      <c r="M28" s="95"/>
      <c r="O28" s="57"/>
    </row>
    <row r="29" spans="1:15" s="51" customFormat="1" ht="27.75" customHeight="1" x14ac:dyDescent="0.25">
      <c r="A29" s="101" t="s">
        <v>101</v>
      </c>
      <c r="B29" s="852">
        <v>125</v>
      </c>
      <c r="C29" s="46"/>
      <c r="D29" s="47"/>
      <c r="E29" s="47"/>
      <c r="F29" s="349">
        <f>F30+F31+F32+F33+F34+F35+F36</f>
        <v>75240</v>
      </c>
      <c r="G29" s="855"/>
      <c r="H29" s="46"/>
      <c r="I29" s="47"/>
      <c r="J29" s="47"/>
      <c r="K29" s="94"/>
      <c r="L29" s="49">
        <f>L30+L31+L32+L33+L34+L35+L36</f>
        <v>75240</v>
      </c>
      <c r="M29" s="50"/>
      <c r="O29" s="57"/>
    </row>
    <row r="30" spans="1:15" s="51" customFormat="1" ht="20.25" customHeight="1" x14ac:dyDescent="0.25">
      <c r="A30" s="102" t="s">
        <v>102</v>
      </c>
      <c r="B30" s="853"/>
      <c r="C30" s="53">
        <f>1/125</f>
        <v>8.0000000000000002E-3</v>
      </c>
      <c r="D30" s="54" t="s">
        <v>82</v>
      </c>
      <c r="E30" s="54">
        <f>F30/125</f>
        <v>25.92</v>
      </c>
      <c r="F30" s="56">
        <f>7500-4260</f>
        <v>3240</v>
      </c>
      <c r="G30" s="856"/>
      <c r="H30" s="53">
        <v>0.03</v>
      </c>
      <c r="I30" s="54" t="s">
        <v>103</v>
      </c>
      <c r="J30" s="54">
        <v>119.2</v>
      </c>
      <c r="K30" s="97">
        <f>J30*G29</f>
        <v>0</v>
      </c>
      <c r="L30" s="56">
        <f>F30+K30</f>
        <v>3240</v>
      </c>
      <c r="M30" s="50"/>
      <c r="O30" s="57"/>
    </row>
    <row r="31" spans="1:15" s="51" customFormat="1" ht="67.5" customHeight="1" x14ac:dyDescent="0.25">
      <c r="A31" s="102" t="s">
        <v>104</v>
      </c>
      <c r="B31" s="853"/>
      <c r="C31" s="53">
        <f>1/125</f>
        <v>8.0000000000000002E-3</v>
      </c>
      <c r="D31" s="54" t="s">
        <v>82</v>
      </c>
      <c r="E31" s="54">
        <f>F31/B29</f>
        <v>96</v>
      </c>
      <c r="F31" s="56">
        <v>12000</v>
      </c>
      <c r="G31" s="856"/>
      <c r="H31" s="53">
        <v>1</v>
      </c>
      <c r="I31" s="54" t="s">
        <v>82</v>
      </c>
      <c r="J31" s="54">
        <v>28</v>
      </c>
      <c r="K31" s="97">
        <f>J31*G29</f>
        <v>0</v>
      </c>
      <c r="L31" s="56">
        <f>F31+K31</f>
        <v>12000</v>
      </c>
      <c r="M31" s="50"/>
      <c r="O31" s="57"/>
    </row>
    <row r="32" spans="1:15" s="51" customFormat="1" ht="43.5" customHeight="1" x14ac:dyDescent="0.25">
      <c r="A32" s="102" t="s">
        <v>105</v>
      </c>
      <c r="B32" s="853"/>
      <c r="C32" s="53">
        <v>0.02</v>
      </c>
      <c r="D32" s="54" t="s">
        <v>103</v>
      </c>
      <c r="E32" s="54">
        <f>F32/125</f>
        <v>200</v>
      </c>
      <c r="F32" s="56">
        <v>25000</v>
      </c>
      <c r="G32" s="856"/>
      <c r="H32" s="53">
        <v>0.02</v>
      </c>
      <c r="I32" s="54" t="s">
        <v>103</v>
      </c>
      <c r="J32" s="54">
        <v>12</v>
      </c>
      <c r="K32" s="97">
        <f>J32*G29</f>
        <v>0</v>
      </c>
      <c r="L32" s="56">
        <f>F32+K32</f>
        <v>25000</v>
      </c>
      <c r="M32" s="50"/>
      <c r="O32" s="57"/>
    </row>
    <row r="33" spans="1:20" s="51" customFormat="1" ht="31.5" customHeight="1" x14ac:dyDescent="0.25">
      <c r="A33" s="102" t="s">
        <v>106</v>
      </c>
      <c r="B33" s="853"/>
      <c r="C33" s="53">
        <f>3/125</f>
        <v>2.4E-2</v>
      </c>
      <c r="D33" s="54" t="s">
        <v>82</v>
      </c>
      <c r="E33" s="54">
        <f>F33/B29</f>
        <v>80</v>
      </c>
      <c r="F33" s="56">
        <v>10000</v>
      </c>
      <c r="G33" s="856"/>
      <c r="H33" s="53">
        <v>3</v>
      </c>
      <c r="I33" s="54" t="s">
        <v>82</v>
      </c>
      <c r="J33" s="54">
        <v>91.6</v>
      </c>
      <c r="K33" s="97">
        <f>J33*G29</f>
        <v>0</v>
      </c>
      <c r="L33" s="56">
        <f>F33+K33</f>
        <v>10000</v>
      </c>
      <c r="M33" s="50"/>
      <c r="O33" s="57"/>
    </row>
    <row r="34" spans="1:20" s="51" customFormat="1" ht="15.75" customHeight="1" x14ac:dyDescent="0.25">
      <c r="A34" s="102" t="s">
        <v>107</v>
      </c>
      <c r="B34" s="853"/>
      <c r="C34" s="53"/>
      <c r="D34" s="54" t="s">
        <v>103</v>
      </c>
      <c r="E34" s="54"/>
      <c r="F34" s="56"/>
      <c r="G34" s="856"/>
      <c r="H34" s="53"/>
      <c r="I34" s="54" t="s">
        <v>103</v>
      </c>
      <c r="J34" s="54"/>
      <c r="K34" s="97"/>
      <c r="L34" s="56"/>
      <c r="M34" s="50"/>
      <c r="O34" s="57"/>
    </row>
    <row r="35" spans="1:20" s="51" customFormat="1" ht="17.25" customHeight="1" x14ac:dyDescent="0.25">
      <c r="A35" s="102" t="s">
        <v>108</v>
      </c>
      <c r="B35" s="853"/>
      <c r="C35" s="53"/>
      <c r="D35" s="54" t="s">
        <v>82</v>
      </c>
      <c r="E35" s="54"/>
      <c r="F35" s="56"/>
      <c r="G35" s="856"/>
      <c r="H35" s="53"/>
      <c r="I35" s="54" t="s">
        <v>82</v>
      </c>
      <c r="J35" s="54"/>
      <c r="K35" s="97"/>
      <c r="L35" s="56"/>
      <c r="M35" s="50"/>
      <c r="O35" s="57"/>
    </row>
    <row r="36" spans="1:20" s="51" customFormat="1" ht="32.25" customHeight="1" thickBot="1" x14ac:dyDescent="0.3">
      <c r="A36" s="103" t="s">
        <v>109</v>
      </c>
      <c r="B36" s="854"/>
      <c r="C36" s="59">
        <f>2/125</f>
        <v>1.6E-2</v>
      </c>
      <c r="D36" s="60" t="s">
        <v>82</v>
      </c>
      <c r="E36" s="60">
        <f>F36/125</f>
        <v>200</v>
      </c>
      <c r="F36" s="62">
        <v>25000</v>
      </c>
      <c r="G36" s="857"/>
      <c r="H36" s="59">
        <v>2</v>
      </c>
      <c r="I36" s="60" t="s">
        <v>82</v>
      </c>
      <c r="J36" s="60">
        <v>79.2</v>
      </c>
      <c r="K36" s="99">
        <v>0</v>
      </c>
      <c r="L36" s="62">
        <f>F36+K36</f>
        <v>25000</v>
      </c>
      <c r="M36" s="50"/>
      <c r="O36" s="57"/>
    </row>
    <row r="37" spans="1:20" s="51" customFormat="1" ht="2.25" customHeight="1" x14ac:dyDescent="0.25">
      <c r="A37" s="104"/>
      <c r="B37" s="105"/>
      <c r="C37" s="65"/>
      <c r="D37" s="65"/>
      <c r="E37" s="65"/>
      <c r="F37" s="72"/>
      <c r="G37" s="106"/>
      <c r="H37" s="858"/>
      <c r="I37" s="65"/>
      <c r="J37" s="65"/>
      <c r="K37" s="72"/>
      <c r="L37" s="860"/>
      <c r="M37" s="50"/>
    </row>
    <row r="38" spans="1:20" s="51" customFormat="1" ht="12.75" customHeight="1" thickBot="1" x14ac:dyDescent="0.3">
      <c r="A38" s="107"/>
      <c r="B38" s="105"/>
      <c r="C38" s="65"/>
      <c r="D38" s="65"/>
      <c r="E38" s="65"/>
      <c r="F38" s="72"/>
      <c r="G38" s="106"/>
      <c r="H38" s="859"/>
      <c r="I38" s="65"/>
      <c r="J38" s="65"/>
      <c r="K38" s="72"/>
      <c r="L38" s="861"/>
      <c r="M38" s="50"/>
    </row>
    <row r="39" spans="1:20" s="51" customFormat="1" ht="15.75" thickBot="1" x14ac:dyDescent="0.3">
      <c r="A39" s="108" t="s">
        <v>63</v>
      </c>
      <c r="B39" s="109"/>
      <c r="C39" s="110"/>
      <c r="D39" s="110"/>
      <c r="E39" s="110"/>
      <c r="F39" s="111">
        <f>F5+F10+F21+F25+F29</f>
        <v>2213764</v>
      </c>
      <c r="G39" s="111"/>
      <c r="H39" s="111"/>
      <c r="I39" s="111"/>
      <c r="J39" s="111"/>
      <c r="K39" s="111" t="e">
        <f>K5+K10+K21+K25+K29</f>
        <v>#REF!</v>
      </c>
      <c r="L39" s="112" t="e">
        <f>L5+L10+L21+L25+L29</f>
        <v>#REF!</v>
      </c>
      <c r="M39" s="113">
        <f>M5+M10+M21+M25+M29</f>
        <v>0</v>
      </c>
      <c r="N39" s="69"/>
      <c r="P39" s="722"/>
      <c r="Q39" s="722"/>
      <c r="R39" s="722"/>
      <c r="S39" s="69"/>
      <c r="T39" s="69"/>
    </row>
    <row r="40" spans="1:20" s="51" customFormat="1" ht="15.75" thickBot="1" x14ac:dyDescent="0.3">
      <c r="A40" s="341"/>
      <c r="B40" s="197"/>
      <c r="C40" s="342"/>
      <c r="D40" s="342"/>
      <c r="E40" s="342"/>
      <c r="F40" s="343"/>
      <c r="G40" s="114"/>
      <c r="H40" s="114"/>
      <c r="I40" s="114"/>
      <c r="J40" s="114"/>
      <c r="K40" s="114"/>
      <c r="L40" s="115"/>
      <c r="M40" s="50"/>
    </row>
    <row r="41" spans="1:20" s="51" customFormat="1" ht="60" x14ac:dyDescent="0.25">
      <c r="A41" s="344" t="s">
        <v>186</v>
      </c>
      <c r="B41" s="864">
        <v>125</v>
      </c>
      <c r="C41" s="339"/>
      <c r="D41" s="339"/>
      <c r="E41" s="339"/>
      <c r="F41" s="345">
        <f>F5+F10+F21+F25+F29</f>
        <v>2213764</v>
      </c>
      <c r="G41" s="862"/>
      <c r="H41" s="116"/>
      <c r="I41" s="117"/>
      <c r="J41" s="117"/>
      <c r="K41" s="118">
        <f>ДХШ!N5+'ДХШ 2'!J16</f>
        <v>0</v>
      </c>
      <c r="L41" s="119">
        <f>F41+K41</f>
        <v>2213764</v>
      </c>
      <c r="M41" s="120" t="s">
        <v>111</v>
      </c>
      <c r="N41" s="121"/>
    </row>
    <row r="42" spans="1:20" s="51" customFormat="1" ht="75.75" thickBot="1" x14ac:dyDescent="0.3">
      <c r="A42" s="346" t="s">
        <v>187</v>
      </c>
      <c r="B42" s="864"/>
      <c r="C42" s="339"/>
      <c r="D42" s="339"/>
      <c r="E42" s="339"/>
      <c r="F42" s="345">
        <f>ДХШ!H5+'ДХШ 2'!F16</f>
        <v>2285696</v>
      </c>
      <c r="G42" s="863"/>
      <c r="H42" s="125"/>
      <c r="I42" s="126"/>
      <c r="J42" s="126"/>
      <c r="K42" s="127" t="e">
        <f>K5+K10+K21+K25+K29</f>
        <v>#REF!</v>
      </c>
      <c r="L42" s="128" t="e">
        <f>F42+K42</f>
        <v>#REF!</v>
      </c>
      <c r="M42" s="120" t="s">
        <v>113</v>
      </c>
      <c r="N42" s="335">
        <f>F41+F42</f>
        <v>4499460</v>
      </c>
    </row>
    <row r="43" spans="1:20" s="51" customFormat="1" ht="45.75" thickBot="1" x14ac:dyDescent="0.3">
      <c r="A43" s="340" t="s">
        <v>188</v>
      </c>
      <c r="B43" s="865"/>
      <c r="C43" s="124"/>
      <c r="D43" s="124"/>
      <c r="E43" s="124"/>
      <c r="F43" s="128">
        <f>5950+5360</f>
        <v>11310</v>
      </c>
      <c r="G43" s="337"/>
      <c r="H43" s="338"/>
      <c r="I43" s="338"/>
      <c r="J43" s="338"/>
      <c r="K43" s="336"/>
      <c r="L43" s="336"/>
      <c r="M43" s="120"/>
      <c r="N43" s="121"/>
    </row>
    <row r="44" spans="1:20" s="51" customFormat="1" ht="43.5" customHeight="1" thickBot="1" x14ac:dyDescent="0.3">
      <c r="A44" s="50"/>
      <c r="B44" s="50"/>
      <c r="C44" s="114"/>
      <c r="D44" s="114"/>
      <c r="E44" s="114"/>
      <c r="F44" s="115"/>
      <c r="G44" s="115"/>
      <c r="H44" s="115"/>
      <c r="I44" s="115"/>
      <c r="J44" s="115"/>
      <c r="K44" s="114"/>
      <c r="L44" s="129"/>
      <c r="M44" s="120"/>
      <c r="N44" s="121"/>
    </row>
    <row r="45" spans="1:20" s="51" customFormat="1" ht="15.75" thickBot="1" x14ac:dyDescent="0.3">
      <c r="A45" s="350" t="s">
        <v>69</v>
      </c>
      <c r="B45" s="351"/>
      <c r="C45" s="351"/>
      <c r="D45" s="351"/>
      <c r="E45" s="352"/>
      <c r="F45" s="130">
        <f>F41+F42+F43</f>
        <v>4510770</v>
      </c>
      <c r="G45" s="130"/>
      <c r="H45" s="130"/>
      <c r="I45" s="130"/>
      <c r="J45" s="130"/>
      <c r="K45" s="130" t="e">
        <f>K41+K42</f>
        <v>#REF!</v>
      </c>
      <c r="L45" s="131" t="e">
        <f>F45+K45</f>
        <v>#REF!</v>
      </c>
      <c r="M45" s="121"/>
      <c r="N45" s="335"/>
      <c r="O45" s="69"/>
    </row>
    <row r="46" spans="1:20" s="51" customFormat="1" ht="15.75" thickBot="1" x14ac:dyDescent="0.3">
      <c r="A46" s="50"/>
      <c r="B46" s="50"/>
      <c r="C46" s="114"/>
      <c r="D46" s="114"/>
      <c r="E46" s="114"/>
      <c r="F46" s="114"/>
      <c r="G46" s="114"/>
      <c r="H46" s="114"/>
      <c r="I46" s="114"/>
      <c r="J46" s="114"/>
      <c r="K46" s="114"/>
      <c r="L46" s="132"/>
      <c r="M46" s="121"/>
      <c r="N46" s="133"/>
    </row>
    <row r="47" spans="1:20" ht="42" customHeight="1" thickBot="1" x14ac:dyDescent="0.3">
      <c r="A47" s="850" t="s">
        <v>189</v>
      </c>
      <c r="B47" s="851"/>
      <c r="C47" s="851"/>
      <c r="D47" s="851"/>
      <c r="E47" s="851"/>
      <c r="F47" s="353">
        <f>400000+29300</f>
        <v>429300</v>
      </c>
      <c r="G47" s="32"/>
      <c r="H47" s="32"/>
      <c r="I47" s="32"/>
      <c r="J47" s="32"/>
      <c r="K47" s="32"/>
      <c r="L47" s="28"/>
      <c r="M47" s="30"/>
      <c r="N47" s="30"/>
      <c r="O47" s="30"/>
    </row>
    <row r="48" spans="1:20" x14ac:dyDescent="0.25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28"/>
      <c r="M48" s="30"/>
      <c r="N48" s="30"/>
      <c r="O48" s="30"/>
    </row>
    <row r="49" spans="6:15" x14ac:dyDescent="0.25">
      <c r="F49" s="30"/>
      <c r="L49" s="30"/>
      <c r="M49" s="30"/>
      <c r="N49" s="30"/>
      <c r="O49" s="30"/>
    </row>
    <row r="50" spans="6:15" x14ac:dyDescent="0.25">
      <c r="F50" s="30">
        <f>F45-F47</f>
        <v>4081470</v>
      </c>
      <c r="L50" s="30"/>
      <c r="M50" s="30"/>
      <c r="N50" s="30"/>
      <c r="O50" s="30"/>
    </row>
    <row r="51" spans="6:15" x14ac:dyDescent="0.25">
      <c r="L51" s="30"/>
      <c r="M51" s="30"/>
      <c r="N51" s="30"/>
      <c r="O51" s="30"/>
    </row>
    <row r="52" spans="6:15" x14ac:dyDescent="0.25">
      <c r="L52" s="30"/>
      <c r="M52" s="30"/>
      <c r="N52" s="30"/>
      <c r="O52" s="30"/>
    </row>
  </sheetData>
  <mergeCells count="20">
    <mergeCell ref="B10:B15"/>
    <mergeCell ref="G10:G15"/>
    <mergeCell ref="A1:L1"/>
    <mergeCell ref="C2:F2"/>
    <mergeCell ref="H2:K2"/>
    <mergeCell ref="B5:B8"/>
    <mergeCell ref="G5:G8"/>
    <mergeCell ref="B17:B19"/>
    <mergeCell ref="G17:G19"/>
    <mergeCell ref="B21:B23"/>
    <mergeCell ref="G21:G23"/>
    <mergeCell ref="B25:B27"/>
    <mergeCell ref="G25:G27"/>
    <mergeCell ref="A47:E47"/>
    <mergeCell ref="B29:B36"/>
    <mergeCell ref="G29:G36"/>
    <mergeCell ref="H37:H38"/>
    <mergeCell ref="L37:L38"/>
    <mergeCell ref="G41:G42"/>
    <mergeCell ref="B41:B43"/>
  </mergeCells>
  <pageMargins left="0.25" right="0.25" top="0.75" bottom="0.75" header="0.3" footer="0.3"/>
  <pageSetup paperSize="9" scale="83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53"/>
  <sheetViews>
    <sheetView tabSelected="1" zoomScale="70" zoomScaleNormal="70" workbookViewId="0">
      <selection activeCell="F495" sqref="F495"/>
    </sheetView>
  </sheetViews>
  <sheetFormatPr defaultRowHeight="18.75" x14ac:dyDescent="0.3"/>
  <cols>
    <col min="1" max="1" width="9.5703125" style="719" customWidth="1"/>
    <col min="2" max="5" width="15.42578125" style="719" customWidth="1"/>
    <col min="6" max="6" width="20.140625" style="719" customWidth="1"/>
    <col min="7" max="7" width="12.85546875" style="719" customWidth="1"/>
    <col min="8" max="8" width="15.140625" style="719" customWidth="1"/>
    <col min="9" max="9" width="30.28515625" style="719" customWidth="1"/>
    <col min="10" max="10" width="9.140625" style="51"/>
    <col min="11" max="11" width="10" style="51" bestFit="1" customWidth="1"/>
    <col min="12" max="12" width="9.140625" style="51"/>
    <col min="13" max="13" width="10" style="51" bestFit="1" customWidth="1"/>
    <col min="14" max="14" width="13.5703125" style="51" bestFit="1" customWidth="1"/>
    <col min="15" max="16" width="10" style="51" bestFit="1" customWidth="1"/>
    <col min="17" max="48" width="9.140625" style="51"/>
  </cols>
  <sheetData>
    <row r="1" spans="1:13" s="51" customFormat="1" x14ac:dyDescent="0.3">
      <c r="A1" s="719"/>
      <c r="B1" s="719"/>
      <c r="C1" s="719"/>
      <c r="D1" s="719"/>
      <c r="E1" s="719"/>
      <c r="F1" s="914" t="s">
        <v>0</v>
      </c>
      <c r="G1" s="914"/>
      <c r="H1" s="914"/>
      <c r="I1" s="914"/>
      <c r="J1" s="719"/>
      <c r="K1" s="719"/>
      <c r="L1" s="719"/>
      <c r="M1" s="719"/>
    </row>
    <row r="2" spans="1:13" s="51" customFormat="1" x14ac:dyDescent="0.3">
      <c r="A2" s="719"/>
      <c r="B2" s="719"/>
      <c r="C2" s="719"/>
      <c r="D2" s="719"/>
      <c r="E2" s="719"/>
      <c r="F2" s="914" t="s">
        <v>2</v>
      </c>
      <c r="G2" s="914"/>
      <c r="H2" s="914"/>
      <c r="I2" s="914"/>
      <c r="J2" s="719"/>
      <c r="K2" s="719"/>
      <c r="L2" s="719"/>
      <c r="M2" s="719"/>
    </row>
    <row r="3" spans="1:13" s="51" customFormat="1" x14ac:dyDescent="0.3">
      <c r="A3" s="719"/>
      <c r="B3" s="719"/>
      <c r="C3" s="719"/>
      <c r="D3" s="719"/>
      <c r="E3" s="719"/>
      <c r="F3" s="914" t="s">
        <v>3</v>
      </c>
      <c r="G3" s="914"/>
      <c r="H3" s="914"/>
      <c r="I3" s="914"/>
      <c r="J3" s="719"/>
      <c r="K3" s="719"/>
      <c r="L3" s="719"/>
      <c r="M3" s="719"/>
    </row>
    <row r="4" spans="1:13" s="51" customFormat="1" x14ac:dyDescent="0.3">
      <c r="A4" s="719"/>
      <c r="B4" s="719"/>
      <c r="C4" s="719"/>
      <c r="D4" s="719"/>
      <c r="E4" s="719"/>
      <c r="F4" s="914" t="s">
        <v>319</v>
      </c>
      <c r="G4" s="914"/>
      <c r="H4" s="914"/>
      <c r="I4" s="914"/>
      <c r="J4" s="719"/>
      <c r="K4" s="719"/>
      <c r="L4" s="719"/>
      <c r="M4" s="719"/>
    </row>
    <row r="5" spans="1:13" s="51" customFormat="1" ht="10.5" customHeight="1" x14ac:dyDescent="0.3">
      <c r="A5" s="719"/>
      <c r="B5" s="719"/>
      <c r="C5" s="719"/>
      <c r="D5" s="719"/>
      <c r="E5" s="719"/>
      <c r="F5" s="719"/>
      <c r="G5" s="719"/>
      <c r="H5" s="719"/>
      <c r="I5" s="719"/>
      <c r="J5" s="719"/>
      <c r="K5" s="719"/>
      <c r="L5" s="719"/>
      <c r="M5" s="719"/>
    </row>
    <row r="6" spans="1:13" s="51" customFormat="1" x14ac:dyDescent="0.3">
      <c r="A6" s="901" t="s">
        <v>4</v>
      </c>
      <c r="B6" s="901"/>
      <c r="C6" s="901"/>
      <c r="D6" s="901"/>
      <c r="E6" s="901"/>
      <c r="F6" s="901"/>
      <c r="G6" s="901"/>
      <c r="H6" s="901"/>
      <c r="I6" s="901"/>
      <c r="J6" s="719"/>
      <c r="K6" s="719"/>
      <c r="L6" s="719"/>
      <c r="M6" s="719"/>
    </row>
    <row r="7" spans="1:13" s="51" customFormat="1" x14ac:dyDescent="0.3">
      <c r="A7" s="901" t="s">
        <v>5</v>
      </c>
      <c r="B7" s="901"/>
      <c r="C7" s="901"/>
      <c r="D7" s="901"/>
      <c r="E7" s="901"/>
      <c r="F7" s="901"/>
      <c r="G7" s="901"/>
      <c r="H7" s="901"/>
      <c r="I7" s="901"/>
      <c r="J7" s="719"/>
      <c r="K7" s="719"/>
      <c r="L7" s="719"/>
      <c r="M7" s="719"/>
    </row>
    <row r="8" spans="1:13" s="51" customFormat="1" x14ac:dyDescent="0.3">
      <c r="A8" s="901" t="s">
        <v>6</v>
      </c>
      <c r="B8" s="901"/>
      <c r="C8" s="901"/>
      <c r="D8" s="901"/>
      <c r="E8" s="901"/>
      <c r="F8" s="901"/>
      <c r="G8" s="901"/>
      <c r="H8" s="901"/>
      <c r="I8" s="901"/>
      <c r="J8" s="719"/>
      <c r="K8" s="719"/>
      <c r="L8" s="719"/>
      <c r="M8" s="719"/>
    </row>
    <row r="9" spans="1:13" s="51" customFormat="1" x14ac:dyDescent="0.3">
      <c r="A9" s="910" t="s">
        <v>38</v>
      </c>
      <c r="B9" s="901"/>
      <c r="C9" s="901"/>
      <c r="D9" s="901"/>
      <c r="E9" s="901"/>
      <c r="F9" s="901"/>
      <c r="G9" s="901"/>
      <c r="H9" s="901"/>
      <c r="I9" s="901"/>
      <c r="J9" s="719"/>
      <c r="K9" s="719"/>
      <c r="L9" s="719"/>
      <c r="M9" s="719"/>
    </row>
    <row r="10" spans="1:13" s="51" customFormat="1" x14ac:dyDescent="0.3">
      <c r="A10" s="903" t="s">
        <v>116</v>
      </c>
      <c r="B10" s="903"/>
      <c r="C10" s="903"/>
      <c r="D10" s="903"/>
      <c r="E10" s="903"/>
      <c r="F10" s="903"/>
      <c r="G10" s="903"/>
      <c r="H10" s="903"/>
      <c r="I10" s="903"/>
      <c r="J10" s="719"/>
      <c r="K10" s="719"/>
      <c r="L10" s="719"/>
      <c r="M10" s="719"/>
    </row>
    <row r="11" spans="1:13" s="51" customFormat="1" x14ac:dyDescent="0.3">
      <c r="A11" s="905" t="s">
        <v>8</v>
      </c>
      <c r="B11" s="905"/>
      <c r="C11" s="905"/>
      <c r="D11" s="905"/>
      <c r="E11" s="905"/>
      <c r="F11" s="905"/>
      <c r="G11" s="905"/>
      <c r="H11" s="905"/>
      <c r="I11" s="905"/>
      <c r="J11" s="719"/>
      <c r="K11" s="904" t="s">
        <v>118</v>
      </c>
      <c r="L11" s="904"/>
      <c r="M11" s="904"/>
    </row>
    <row r="12" spans="1:13" s="51" customFormat="1" x14ac:dyDescent="0.3">
      <c r="A12" s="719"/>
      <c r="B12" s="719"/>
      <c r="C12" s="719"/>
      <c r="D12" s="719"/>
      <c r="E12" s="719"/>
      <c r="F12" s="719"/>
      <c r="G12" s="719"/>
      <c r="H12" s="719"/>
      <c r="I12" s="719"/>
      <c r="J12" s="719"/>
      <c r="K12" s="719"/>
      <c r="L12" s="719"/>
      <c r="M12" s="719"/>
    </row>
    <row r="13" spans="1:13" s="51" customFormat="1" ht="75" customHeight="1" x14ac:dyDescent="0.3">
      <c r="A13" s="720" t="s">
        <v>9</v>
      </c>
      <c r="B13" s="883" t="s">
        <v>10</v>
      </c>
      <c r="C13" s="883"/>
      <c r="D13" s="883"/>
      <c r="E13" s="883"/>
      <c r="F13" s="826" t="s">
        <v>11</v>
      </c>
      <c r="G13" s="883" t="s">
        <v>12</v>
      </c>
      <c r="H13" s="883"/>
      <c r="I13" s="826" t="s">
        <v>13</v>
      </c>
      <c r="J13" s="732"/>
      <c r="K13" s="732"/>
      <c r="L13" s="732"/>
      <c r="M13" s="719"/>
    </row>
    <row r="14" spans="1:13" s="51" customFormat="1" x14ac:dyDescent="0.3">
      <c r="A14" s="825">
        <v>1</v>
      </c>
      <c r="B14" s="884">
        <v>2</v>
      </c>
      <c r="C14" s="884"/>
      <c r="D14" s="884"/>
      <c r="E14" s="884"/>
      <c r="F14" s="825">
        <v>3</v>
      </c>
      <c r="G14" s="884">
        <v>4</v>
      </c>
      <c r="H14" s="884"/>
      <c r="I14" s="825">
        <v>5</v>
      </c>
      <c r="J14" s="732"/>
      <c r="K14" s="732"/>
      <c r="L14" s="732"/>
      <c r="M14" s="719"/>
    </row>
    <row r="15" spans="1:13" s="51" customFormat="1" ht="50.25" customHeight="1" x14ac:dyDescent="0.3">
      <c r="A15" s="900" t="s">
        <v>18</v>
      </c>
      <c r="B15" s="900"/>
      <c r="C15" s="900"/>
      <c r="D15" s="900"/>
      <c r="E15" s="900"/>
      <c r="F15" s="900"/>
      <c r="G15" s="900"/>
      <c r="H15" s="900"/>
      <c r="I15" s="900"/>
      <c r="J15" s="732"/>
      <c r="K15" s="732"/>
      <c r="L15" s="732"/>
      <c r="M15" s="719"/>
    </row>
    <row r="16" spans="1:13" s="51" customFormat="1" ht="34.5" customHeight="1" x14ac:dyDescent="0.3">
      <c r="A16" s="895" t="s">
        <v>14</v>
      </c>
      <c r="B16" s="895"/>
      <c r="C16" s="895"/>
      <c r="D16" s="895"/>
      <c r="E16" s="895"/>
      <c r="F16" s="895"/>
      <c r="G16" s="895"/>
      <c r="H16" s="895"/>
      <c r="I16" s="895"/>
      <c r="J16" s="732"/>
      <c r="K16" s="732"/>
      <c r="L16" s="732"/>
      <c r="M16" s="719"/>
    </row>
    <row r="17" spans="1:13" s="51" customFormat="1" x14ac:dyDescent="0.3">
      <c r="A17" s="825">
        <v>1</v>
      </c>
      <c r="B17" s="885" t="str">
        <f>ДХШ!B5</f>
        <v xml:space="preserve">преподаватель </v>
      </c>
      <c r="C17" s="885"/>
      <c r="D17" s="885"/>
      <c r="E17" s="885"/>
      <c r="F17" s="825" t="s">
        <v>162</v>
      </c>
      <c r="G17" s="908">
        <f>'нормативные 3'!G12:H12</f>
        <v>53.951999999999998</v>
      </c>
      <c r="H17" s="908"/>
      <c r="I17" s="825" t="s">
        <v>163</v>
      </c>
      <c r="J17" s="732"/>
      <c r="K17" s="732"/>
      <c r="L17" s="732"/>
      <c r="M17" s="719"/>
    </row>
    <row r="18" spans="1:13" s="51" customFormat="1" x14ac:dyDescent="0.3">
      <c r="A18" s="825"/>
      <c r="B18" s="884"/>
      <c r="C18" s="884"/>
      <c r="D18" s="884"/>
      <c r="E18" s="884"/>
      <c r="F18" s="825"/>
      <c r="G18" s="884"/>
      <c r="H18" s="884"/>
      <c r="I18" s="825"/>
      <c r="J18" s="732"/>
      <c r="K18" s="732"/>
      <c r="L18" s="732"/>
      <c r="M18" s="719"/>
    </row>
    <row r="19" spans="1:13" s="51" customFormat="1" ht="68.25" customHeight="1" x14ac:dyDescent="0.3">
      <c r="A19" s="895" t="s">
        <v>15</v>
      </c>
      <c r="B19" s="895"/>
      <c r="C19" s="895"/>
      <c r="D19" s="895"/>
      <c r="E19" s="895"/>
      <c r="F19" s="895"/>
      <c r="G19" s="895"/>
      <c r="H19" s="895"/>
      <c r="I19" s="895"/>
      <c r="J19" s="732"/>
      <c r="K19" s="732"/>
      <c r="L19" s="732"/>
      <c r="M19" s="719"/>
    </row>
    <row r="20" spans="1:13" s="51" customFormat="1" x14ac:dyDescent="0.3">
      <c r="A20" s="825">
        <v>1</v>
      </c>
      <c r="B20" s="885" t="str">
        <f>'ДХШ 2'!A4</f>
        <v>художественная гуашь</v>
      </c>
      <c r="C20" s="885"/>
      <c r="D20" s="885"/>
      <c r="E20" s="885"/>
      <c r="F20" s="825" t="str">
        <f>'ДХШ 2'!L4</f>
        <v>уп.</v>
      </c>
      <c r="G20" s="879">
        <f>'ДХШ 2'!C4</f>
        <v>1</v>
      </c>
      <c r="H20" s="879"/>
      <c r="I20" s="825">
        <v>1</v>
      </c>
      <c r="J20" s="732"/>
      <c r="K20" s="732"/>
      <c r="L20" s="732"/>
      <c r="M20" s="719"/>
    </row>
    <row r="21" spans="1:13" s="51" customFormat="1" x14ac:dyDescent="0.3">
      <c r="A21" s="825">
        <v>2</v>
      </c>
      <c r="B21" s="885" t="str">
        <f>'ДХШ 2'!A5</f>
        <v>акварельные краски</v>
      </c>
      <c r="C21" s="885"/>
      <c r="D21" s="885"/>
      <c r="E21" s="885"/>
      <c r="F21" s="825" t="str">
        <f>'ДХШ 2'!L5</f>
        <v>уп.</v>
      </c>
      <c r="G21" s="879">
        <f>'ДХШ 2'!C5</f>
        <v>1</v>
      </c>
      <c r="H21" s="879"/>
      <c r="I21" s="825">
        <v>1</v>
      </c>
      <c r="J21" s="732"/>
      <c r="K21" s="732"/>
      <c r="L21" s="732"/>
      <c r="M21" s="719"/>
    </row>
    <row r="22" spans="1:13" s="51" customFormat="1" x14ac:dyDescent="0.3">
      <c r="A22" s="825">
        <v>3</v>
      </c>
      <c r="B22" s="885" t="str">
        <f>'ДХШ 2'!A6</f>
        <v>кисти</v>
      </c>
      <c r="C22" s="885"/>
      <c r="D22" s="885"/>
      <c r="E22" s="885"/>
      <c r="F22" s="825" t="str">
        <f>'ДХШ 2'!L6</f>
        <v>шт.</v>
      </c>
      <c r="G22" s="908">
        <f>'ДХШ 2'!C6</f>
        <v>2.976</v>
      </c>
      <c r="H22" s="908"/>
      <c r="I22" s="825">
        <v>1</v>
      </c>
      <c r="J22" s="732"/>
      <c r="K22" s="732"/>
      <c r="L22" s="732"/>
      <c r="M22" s="719"/>
    </row>
    <row r="23" spans="1:13" s="51" customFormat="1" x14ac:dyDescent="0.3">
      <c r="A23" s="825">
        <v>4</v>
      </c>
      <c r="B23" s="885" t="str">
        <f>'ДХШ 2'!A7</f>
        <v>учебные пособия</v>
      </c>
      <c r="C23" s="885"/>
      <c r="D23" s="885"/>
      <c r="E23" s="885"/>
      <c r="F23" s="825" t="str">
        <f>'ДХШ 2'!L7</f>
        <v>шт.</v>
      </c>
      <c r="G23" s="883">
        <f>'ДХШ 2'!C7</f>
        <v>0.16</v>
      </c>
      <c r="H23" s="883"/>
      <c r="I23" s="825">
        <v>7</v>
      </c>
      <c r="J23" s="732"/>
      <c r="K23" s="732"/>
      <c r="L23" s="732"/>
      <c r="M23" s="719"/>
    </row>
    <row r="24" spans="1:13" s="51" customFormat="1" x14ac:dyDescent="0.3">
      <c r="A24" s="825">
        <v>5</v>
      </c>
      <c r="B24" s="885" t="str">
        <f>'ДХШ 2'!A8</f>
        <v>литература по истории искусств</v>
      </c>
      <c r="C24" s="885"/>
      <c r="D24" s="885"/>
      <c r="E24" s="885"/>
      <c r="F24" s="825" t="str">
        <f>'ДХШ 2'!L8</f>
        <v>шт.</v>
      </c>
      <c r="G24" s="883">
        <f>'ДХШ 2'!C8</f>
        <v>0.16</v>
      </c>
      <c r="H24" s="883"/>
      <c r="I24" s="825">
        <v>7</v>
      </c>
      <c r="J24" s="732"/>
      <c r="K24" s="732"/>
      <c r="L24" s="732"/>
      <c r="M24" s="719"/>
    </row>
    <row r="25" spans="1:13" s="51" customFormat="1" x14ac:dyDescent="0.3">
      <c r="A25" s="825">
        <v>6</v>
      </c>
      <c r="B25" s="885" t="str">
        <f>'ДХШ 2'!A9</f>
        <v>карандаши</v>
      </c>
      <c r="C25" s="885"/>
      <c r="D25" s="885"/>
      <c r="E25" s="885"/>
      <c r="F25" s="825" t="str">
        <f>'ДХШ 2'!L9</f>
        <v>шт.</v>
      </c>
      <c r="G25" s="879">
        <f>'ДХШ 2'!C9</f>
        <v>1</v>
      </c>
      <c r="H25" s="879"/>
      <c r="I25" s="825">
        <v>1</v>
      </c>
      <c r="J25" s="732"/>
      <c r="K25" s="732"/>
      <c r="L25" s="732"/>
      <c r="M25" s="719"/>
    </row>
    <row r="26" spans="1:13" s="51" customFormat="1" x14ac:dyDescent="0.3">
      <c r="A26" s="825">
        <v>7</v>
      </c>
      <c r="B26" s="885" t="str">
        <f>'ДХШ 2'!A10</f>
        <v>бумага для живописи (А3)</v>
      </c>
      <c r="C26" s="885"/>
      <c r="D26" s="885"/>
      <c r="E26" s="885"/>
      <c r="F26" s="825" t="str">
        <f>'ДХШ 2'!L10</f>
        <v>шт.</v>
      </c>
      <c r="G26" s="879">
        <f>'ДХШ 2'!C10</f>
        <v>4</v>
      </c>
      <c r="H26" s="879"/>
      <c r="I26" s="825">
        <v>1</v>
      </c>
      <c r="J26" s="732"/>
      <c r="K26" s="732"/>
      <c r="L26" s="732"/>
      <c r="M26" s="719"/>
    </row>
    <row r="27" spans="1:13" s="51" customFormat="1" x14ac:dyDescent="0.3">
      <c r="A27" s="825">
        <v>8</v>
      </c>
      <c r="B27" s="885" t="str">
        <f>'ДХШ 2'!A11</f>
        <v>ватман ( для рисунка А3)</v>
      </c>
      <c r="C27" s="885"/>
      <c r="D27" s="885"/>
      <c r="E27" s="885"/>
      <c r="F27" s="825" t="str">
        <f>'ДХШ 2'!L11</f>
        <v>шт.</v>
      </c>
      <c r="G27" s="879">
        <f>'ДХШ 2'!C11</f>
        <v>4</v>
      </c>
      <c r="H27" s="879"/>
      <c r="I27" s="825">
        <v>1</v>
      </c>
      <c r="J27" s="732"/>
      <c r="K27" s="732"/>
      <c r="L27" s="732"/>
      <c r="M27" s="719"/>
    </row>
    <row r="28" spans="1:13" s="51" customFormat="1" x14ac:dyDescent="0.3">
      <c r="A28" s="825">
        <v>9</v>
      </c>
      <c r="B28" s="885" t="str">
        <f>'ДХШ 2'!A12</f>
        <v>клей ПВА</v>
      </c>
      <c r="C28" s="885"/>
      <c r="D28" s="885"/>
      <c r="E28" s="885"/>
      <c r="F28" s="825" t="str">
        <f>'ДХШ 2'!L12</f>
        <v>шт.</v>
      </c>
      <c r="G28" s="883">
        <f>'ДХШ 2'!C12</f>
        <v>0.4</v>
      </c>
      <c r="H28" s="883"/>
      <c r="I28" s="825">
        <v>1</v>
      </c>
      <c r="J28" s="732"/>
      <c r="K28" s="732"/>
      <c r="L28" s="732"/>
      <c r="M28" s="719"/>
    </row>
    <row r="29" spans="1:13" s="51" customFormat="1" ht="18.75" customHeight="1" x14ac:dyDescent="0.3">
      <c r="A29" s="825">
        <v>10</v>
      </c>
      <c r="B29" s="885" t="str">
        <f>'ДХШ 2'!A13</f>
        <v>ножницы</v>
      </c>
      <c r="C29" s="885"/>
      <c r="D29" s="885"/>
      <c r="E29" s="885"/>
      <c r="F29" s="825" t="str">
        <f>'ДХШ 2'!L13</f>
        <v>шт.</v>
      </c>
      <c r="G29" s="883">
        <f>'ДХШ 2'!C13</f>
        <v>0.08</v>
      </c>
      <c r="H29" s="883"/>
      <c r="I29" s="825">
        <v>7</v>
      </c>
      <c r="J29" s="732"/>
      <c r="K29" s="732"/>
      <c r="L29" s="732"/>
      <c r="M29" s="719"/>
    </row>
    <row r="30" spans="1:13" s="51" customFormat="1" ht="70.5" customHeight="1" x14ac:dyDescent="0.3">
      <c r="A30" s="895" t="s">
        <v>16</v>
      </c>
      <c r="B30" s="895"/>
      <c r="C30" s="895"/>
      <c r="D30" s="895"/>
      <c r="E30" s="895"/>
      <c r="F30" s="895"/>
      <c r="G30" s="895"/>
      <c r="H30" s="895"/>
      <c r="I30" s="895"/>
      <c r="J30" s="732"/>
      <c r="K30" s="732"/>
      <c r="L30" s="732"/>
      <c r="M30" s="719"/>
    </row>
    <row r="31" spans="1:13" s="51" customFormat="1" x14ac:dyDescent="0.3">
      <c r="A31" s="825"/>
      <c r="B31" s="884"/>
      <c r="C31" s="884"/>
      <c r="D31" s="884"/>
      <c r="E31" s="884"/>
      <c r="F31" s="825"/>
      <c r="G31" s="884"/>
      <c r="H31" s="884"/>
      <c r="I31" s="825"/>
      <c r="J31" s="732"/>
      <c r="K31" s="732"/>
      <c r="L31" s="732"/>
      <c r="M31" s="719"/>
    </row>
    <row r="32" spans="1:13" s="51" customFormat="1" x14ac:dyDescent="0.3">
      <c r="A32" s="825"/>
      <c r="B32" s="884"/>
      <c r="C32" s="884"/>
      <c r="D32" s="884"/>
      <c r="E32" s="884"/>
      <c r="F32" s="825"/>
      <c r="G32" s="884"/>
      <c r="H32" s="884"/>
      <c r="I32" s="825"/>
      <c r="J32" s="732"/>
      <c r="K32" s="732"/>
      <c r="L32" s="732"/>
      <c r="M32" s="719"/>
    </row>
    <row r="33" spans="1:13" s="51" customFormat="1" ht="29.25" customHeight="1" x14ac:dyDescent="0.3">
      <c r="A33" s="899" t="s">
        <v>17</v>
      </c>
      <c r="B33" s="883"/>
      <c r="C33" s="883"/>
      <c r="D33" s="883"/>
      <c r="E33" s="883"/>
      <c r="F33" s="883"/>
      <c r="G33" s="883"/>
      <c r="H33" s="883"/>
      <c r="I33" s="883"/>
      <c r="J33" s="732"/>
      <c r="K33" s="732"/>
      <c r="L33" s="732"/>
      <c r="M33" s="719"/>
    </row>
    <row r="34" spans="1:13" s="51" customFormat="1" ht="43.5" customHeight="1" x14ac:dyDescent="0.3">
      <c r="A34" s="896" t="s">
        <v>19</v>
      </c>
      <c r="B34" s="897"/>
      <c r="C34" s="897"/>
      <c r="D34" s="897"/>
      <c r="E34" s="897"/>
      <c r="F34" s="897"/>
      <c r="G34" s="897"/>
      <c r="H34" s="897"/>
      <c r="I34" s="898"/>
      <c r="J34" s="732"/>
      <c r="K34" s="732"/>
      <c r="L34" s="732"/>
      <c r="M34" s="719"/>
    </row>
    <row r="35" spans="1:13" s="51" customFormat="1" ht="36.75" customHeight="1" x14ac:dyDescent="0.3">
      <c r="A35" s="825">
        <v>1</v>
      </c>
      <c r="B35" s="885" t="str">
        <f>'ДХШ 3'!A26</f>
        <v>Административно-управленческий персонал</v>
      </c>
      <c r="C35" s="885"/>
      <c r="D35" s="885"/>
      <c r="E35" s="885"/>
      <c r="F35" s="825" t="s">
        <v>162</v>
      </c>
      <c r="G35" s="883">
        <f>'ДХШ 3'!C26</f>
        <v>87.61</v>
      </c>
      <c r="H35" s="883"/>
      <c r="I35" s="825" t="s">
        <v>163</v>
      </c>
      <c r="J35" s="732"/>
      <c r="K35" s="732"/>
      <c r="L35" s="732"/>
      <c r="M35" s="719"/>
    </row>
    <row r="36" spans="1:13" s="51" customFormat="1" ht="42" customHeight="1" x14ac:dyDescent="0.3">
      <c r="A36" s="825">
        <v>2</v>
      </c>
      <c r="B36" s="885" t="str">
        <f>'ДХШ 3'!A27</f>
        <v>Прочий обслуживающий персонал</v>
      </c>
      <c r="C36" s="885"/>
      <c r="D36" s="885"/>
      <c r="E36" s="885"/>
      <c r="F36" s="825" t="s">
        <v>162</v>
      </c>
      <c r="G36" s="883">
        <f>'ДХШ 3'!C27</f>
        <v>78.72</v>
      </c>
      <c r="H36" s="883"/>
      <c r="I36" s="825" t="s">
        <v>163</v>
      </c>
      <c r="J36" s="732"/>
      <c r="K36" s="732"/>
      <c r="L36" s="732"/>
      <c r="M36" s="719"/>
    </row>
    <row r="37" spans="1:13" s="51" customFormat="1" x14ac:dyDescent="0.3">
      <c r="A37" s="825"/>
      <c r="B37" s="884"/>
      <c r="C37" s="884"/>
      <c r="D37" s="884"/>
      <c r="E37" s="884"/>
      <c r="F37" s="825"/>
      <c r="G37" s="884"/>
      <c r="H37" s="884"/>
      <c r="I37" s="825"/>
      <c r="J37" s="732"/>
      <c r="K37" s="732"/>
      <c r="L37" s="732"/>
      <c r="M37" s="719"/>
    </row>
    <row r="38" spans="1:13" s="51" customFormat="1" x14ac:dyDescent="0.3">
      <c r="A38" s="825"/>
      <c r="B38" s="884"/>
      <c r="C38" s="884"/>
      <c r="D38" s="884"/>
      <c r="E38" s="884"/>
      <c r="F38" s="825"/>
      <c r="G38" s="884"/>
      <c r="H38" s="884"/>
      <c r="I38" s="825"/>
      <c r="J38" s="732"/>
      <c r="K38" s="732"/>
      <c r="L38" s="732"/>
      <c r="M38" s="719"/>
    </row>
    <row r="39" spans="1:13" s="51" customFormat="1" x14ac:dyDescent="0.3">
      <c r="A39" s="896" t="s">
        <v>20</v>
      </c>
      <c r="B39" s="897"/>
      <c r="C39" s="897"/>
      <c r="D39" s="897"/>
      <c r="E39" s="897"/>
      <c r="F39" s="897"/>
      <c r="G39" s="897"/>
      <c r="H39" s="897"/>
      <c r="I39" s="898"/>
      <c r="J39" s="732"/>
      <c r="K39" s="732"/>
      <c r="L39" s="732"/>
      <c r="M39" s="719"/>
    </row>
    <row r="40" spans="1:13" s="51" customFormat="1" ht="30" customHeight="1" x14ac:dyDescent="0.3">
      <c r="A40" s="825">
        <v>1</v>
      </c>
      <c r="B40" s="885" t="str">
        <f>'ДХШ 3'!A6</f>
        <v>оплата потребления газа</v>
      </c>
      <c r="C40" s="885"/>
      <c r="D40" s="885"/>
      <c r="E40" s="885"/>
      <c r="F40" s="825" t="str">
        <f>'ДХШ 3'!D6</f>
        <v>м. куб</v>
      </c>
      <c r="G40" s="908">
        <f>'ДХШ 3'!C6</f>
        <v>6.2799999999999995E-2</v>
      </c>
      <c r="H40" s="908"/>
      <c r="I40" s="825" t="s">
        <v>163</v>
      </c>
      <c r="J40" s="732"/>
      <c r="K40" s="732"/>
      <c r="L40" s="732"/>
      <c r="M40" s="719"/>
    </row>
    <row r="41" spans="1:13" s="51" customFormat="1" ht="39" customHeight="1" x14ac:dyDescent="0.3">
      <c r="A41" s="825">
        <v>2</v>
      </c>
      <c r="B41" s="885" t="str">
        <f>'ДХШ 3'!A7</f>
        <v>оплата потребления электрической энергии</v>
      </c>
      <c r="C41" s="885"/>
      <c r="D41" s="885"/>
      <c r="E41" s="885"/>
      <c r="F41" s="825" t="str">
        <f>'ДХШ 3'!D7</f>
        <v>Квт/ч</v>
      </c>
      <c r="G41" s="883">
        <f>'ДХШ 3'!C7</f>
        <v>65.12</v>
      </c>
      <c r="H41" s="883"/>
      <c r="I41" s="825" t="s">
        <v>163</v>
      </c>
      <c r="J41" s="732"/>
      <c r="K41" s="732"/>
      <c r="L41" s="732"/>
      <c r="M41" s="719"/>
    </row>
    <row r="42" spans="1:13" s="51" customFormat="1" ht="44.25" customHeight="1" x14ac:dyDescent="0.3">
      <c r="A42" s="825">
        <v>3</v>
      </c>
      <c r="B42" s="885" t="str">
        <f>'ДХШ 3'!A8</f>
        <v>оплата потребления водоснабжения</v>
      </c>
      <c r="C42" s="885"/>
      <c r="D42" s="885"/>
      <c r="E42" s="885"/>
      <c r="F42" s="825" t="str">
        <f>'ДХШ 3'!D8</f>
        <v>м. куб</v>
      </c>
      <c r="G42" s="883">
        <f>'ДХШ 3'!C8</f>
        <v>0.96</v>
      </c>
      <c r="H42" s="883"/>
      <c r="I42" s="825" t="s">
        <v>163</v>
      </c>
      <c r="J42" s="732"/>
      <c r="K42" s="732"/>
      <c r="L42" s="732"/>
      <c r="M42" s="719"/>
    </row>
    <row r="43" spans="1:13" s="51" customFormat="1" x14ac:dyDescent="0.3">
      <c r="A43" s="825"/>
      <c r="B43" s="884"/>
      <c r="C43" s="884"/>
      <c r="D43" s="884"/>
      <c r="E43" s="884"/>
      <c r="F43" s="825"/>
      <c r="G43" s="884"/>
      <c r="H43" s="884"/>
      <c r="I43" s="825"/>
      <c r="J43" s="732"/>
      <c r="K43" s="732"/>
      <c r="L43" s="732"/>
      <c r="M43" s="719"/>
    </row>
    <row r="44" spans="1:13" s="51" customFormat="1" ht="52.5" customHeight="1" x14ac:dyDescent="0.3">
      <c r="A44" s="900" t="s">
        <v>21</v>
      </c>
      <c r="B44" s="895"/>
      <c r="C44" s="895"/>
      <c r="D44" s="895"/>
      <c r="E44" s="895"/>
      <c r="F44" s="895"/>
      <c r="G44" s="895"/>
      <c r="H44" s="895"/>
      <c r="I44" s="895"/>
      <c r="J44" s="732"/>
      <c r="K44" s="732"/>
      <c r="L44" s="732"/>
      <c r="M44" s="719"/>
    </row>
    <row r="45" spans="1:13" s="51" customFormat="1" ht="153.75" customHeight="1" x14ac:dyDescent="0.3">
      <c r="A45" s="825">
        <v>1</v>
      </c>
      <c r="B45" s="885" t="str">
        <f>'ДХШ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45" s="885"/>
      <c r="D45" s="885"/>
      <c r="E45" s="885"/>
      <c r="F45" s="825" t="str">
        <f>'ДХШ 3'!D11</f>
        <v>договор</v>
      </c>
      <c r="G45" s="908">
        <v>3.2000000000000001E-2</v>
      </c>
      <c r="H45" s="908"/>
      <c r="I45" s="825" t="s">
        <v>163</v>
      </c>
      <c r="J45" s="732"/>
      <c r="K45" s="732"/>
      <c r="L45" s="732"/>
      <c r="M45" s="719"/>
    </row>
    <row r="46" spans="1:13" s="51" customFormat="1" ht="75.75" customHeight="1" x14ac:dyDescent="0.3">
      <c r="A46" s="825">
        <v>2</v>
      </c>
      <c r="B46" s="885" t="str">
        <f>'ДХШ 3'!A12</f>
        <v>Реагирование на соообщения о срабатывании тревожной сигнализации</v>
      </c>
      <c r="C46" s="885"/>
      <c r="D46" s="885"/>
      <c r="E46" s="885"/>
      <c r="F46" s="825" t="str">
        <f>'ДХШ 3'!D12</f>
        <v>договор</v>
      </c>
      <c r="G46" s="908">
        <v>8.0000000000000002E-3</v>
      </c>
      <c r="H46" s="908"/>
      <c r="I46" s="825" t="s">
        <v>163</v>
      </c>
      <c r="J46" s="732"/>
      <c r="K46" s="732"/>
      <c r="L46" s="732"/>
      <c r="M46" s="719"/>
    </row>
    <row r="47" spans="1:13" s="51" customFormat="1" ht="39.75" customHeight="1" x14ac:dyDescent="0.3">
      <c r="A47" s="825">
        <v>3</v>
      </c>
      <c r="B47" s="885" t="str">
        <f>'ДХШ 3'!A13</f>
        <v>Тех обслуживание сети газораспределения</v>
      </c>
      <c r="C47" s="885"/>
      <c r="D47" s="885"/>
      <c r="E47" s="885"/>
      <c r="F47" s="825" t="str">
        <f>'ДХШ 3'!D13</f>
        <v>договор</v>
      </c>
      <c r="G47" s="908">
        <v>8.0000000000000002E-3</v>
      </c>
      <c r="H47" s="908"/>
      <c r="I47" s="825" t="s">
        <v>163</v>
      </c>
      <c r="J47" s="732"/>
      <c r="K47" s="732"/>
      <c r="L47" s="732"/>
      <c r="M47" s="719"/>
    </row>
    <row r="48" spans="1:13" s="51" customFormat="1" ht="35.25" customHeight="1" x14ac:dyDescent="0.3">
      <c r="A48" s="825">
        <v>4</v>
      </c>
      <c r="B48" s="885" t="str">
        <f>'ДХШ 3'!A14</f>
        <v>Вывоз твердых бытовых отходов, утилизация отходов</v>
      </c>
      <c r="C48" s="885"/>
      <c r="D48" s="885"/>
      <c r="E48" s="885"/>
      <c r="F48" s="825" t="str">
        <f>'ДХШ 3'!D14</f>
        <v>договор</v>
      </c>
      <c r="G48" s="908">
        <v>8.0000000000000002E-3</v>
      </c>
      <c r="H48" s="908"/>
      <c r="I48" s="825" t="s">
        <v>163</v>
      </c>
      <c r="J48" s="732"/>
      <c r="K48" s="732"/>
      <c r="L48" s="732"/>
      <c r="M48" s="719"/>
    </row>
    <row r="49" spans="1:13" s="51" customFormat="1" ht="39" hidden="1" customHeight="1" x14ac:dyDescent="0.3">
      <c r="A49" s="825">
        <v>5</v>
      </c>
      <c r="B49" s="885" t="str">
        <f>'ДХШ 3'!A14</f>
        <v>Вывоз твердых бытовых отходов, утилизация отходов</v>
      </c>
      <c r="C49" s="885"/>
      <c r="D49" s="885"/>
      <c r="E49" s="885"/>
      <c r="F49" s="825" t="s">
        <v>82</v>
      </c>
      <c r="G49" s="908">
        <v>1</v>
      </c>
      <c r="H49" s="908"/>
      <c r="I49" s="825" t="s">
        <v>163</v>
      </c>
      <c r="J49" s="732"/>
      <c r="K49" s="732"/>
      <c r="L49" s="732"/>
      <c r="M49" s="719"/>
    </row>
    <row r="50" spans="1:13" s="51" customFormat="1" x14ac:dyDescent="0.3">
      <c r="A50" s="825"/>
      <c r="B50" s="884"/>
      <c r="C50" s="884"/>
      <c r="D50" s="884"/>
      <c r="E50" s="884"/>
      <c r="F50" s="825"/>
      <c r="G50" s="884"/>
      <c r="H50" s="884"/>
      <c r="I50" s="825"/>
      <c r="J50" s="732"/>
      <c r="K50" s="732"/>
      <c r="L50" s="732"/>
      <c r="M50" s="719"/>
    </row>
    <row r="51" spans="1:13" s="51" customFormat="1" x14ac:dyDescent="0.3">
      <c r="A51" s="825"/>
      <c r="B51" s="884"/>
      <c r="C51" s="884"/>
      <c r="D51" s="884"/>
      <c r="E51" s="884"/>
      <c r="F51" s="825"/>
      <c r="G51" s="884"/>
      <c r="H51" s="884"/>
      <c r="I51" s="825"/>
      <c r="J51" s="732"/>
      <c r="K51" s="732"/>
      <c r="L51" s="732"/>
      <c r="M51" s="719"/>
    </row>
    <row r="52" spans="1:13" s="51" customFormat="1" x14ac:dyDescent="0.3">
      <c r="A52" s="895" t="s">
        <v>22</v>
      </c>
      <c r="B52" s="895"/>
      <c r="C52" s="895"/>
      <c r="D52" s="895"/>
      <c r="E52" s="895"/>
      <c r="F52" s="895"/>
      <c r="G52" s="895"/>
      <c r="H52" s="895"/>
      <c r="I52" s="895"/>
      <c r="J52" s="732"/>
      <c r="K52" s="732"/>
      <c r="L52" s="732"/>
      <c r="M52" s="719"/>
    </row>
    <row r="53" spans="1:13" s="51" customFormat="1" x14ac:dyDescent="0.3">
      <c r="A53" s="825"/>
      <c r="B53" s="884"/>
      <c r="C53" s="884"/>
      <c r="D53" s="884"/>
      <c r="E53" s="884"/>
      <c r="F53" s="825"/>
      <c r="G53" s="884"/>
      <c r="H53" s="884"/>
      <c r="I53" s="825"/>
      <c r="J53" s="732"/>
      <c r="K53" s="732"/>
      <c r="L53" s="732"/>
      <c r="M53" s="719"/>
    </row>
    <row r="54" spans="1:13" s="51" customFormat="1" x14ac:dyDescent="0.3">
      <c r="A54" s="825">
        <v>1</v>
      </c>
      <c r="B54" s="885" t="str">
        <f>'ДХШ 3'!A22</f>
        <v>интернет</v>
      </c>
      <c r="C54" s="885"/>
      <c r="D54" s="885"/>
      <c r="E54" s="885"/>
      <c r="F54" s="825" t="str">
        <f>'ДХШ 3'!D22</f>
        <v>Гб</v>
      </c>
      <c r="G54" s="879">
        <f>'ДХШ 3'!C22</f>
        <v>8</v>
      </c>
      <c r="H54" s="879"/>
      <c r="I54" s="825" t="s">
        <v>163</v>
      </c>
      <c r="J54" s="732"/>
      <c r="K54" s="732"/>
      <c r="L54" s="732"/>
      <c r="M54" s="719"/>
    </row>
    <row r="55" spans="1:13" s="51" customFormat="1" x14ac:dyDescent="0.3">
      <c r="A55" s="825">
        <v>2</v>
      </c>
      <c r="B55" s="885" t="str">
        <f>'ДХШ 3'!A23</f>
        <v>услуги связи</v>
      </c>
      <c r="C55" s="885"/>
      <c r="D55" s="885"/>
      <c r="E55" s="885"/>
      <c r="F55" s="825" t="str">
        <f>'ДХШ 3'!D23</f>
        <v>мин.</v>
      </c>
      <c r="G55" s="879">
        <f>'ДХШ 3'!C23</f>
        <v>16</v>
      </c>
      <c r="H55" s="879"/>
      <c r="I55" s="825" t="s">
        <v>163</v>
      </c>
      <c r="J55" s="732"/>
      <c r="K55" s="732"/>
      <c r="L55" s="732"/>
      <c r="M55" s="719"/>
    </row>
    <row r="56" spans="1:13" s="51" customFormat="1" x14ac:dyDescent="0.3">
      <c r="A56" s="825"/>
      <c r="B56" s="884"/>
      <c r="C56" s="884"/>
      <c r="D56" s="884"/>
      <c r="E56" s="884"/>
      <c r="F56" s="825"/>
      <c r="G56" s="884"/>
      <c r="H56" s="884"/>
      <c r="I56" s="825"/>
      <c r="J56" s="732"/>
      <c r="K56" s="732"/>
      <c r="L56" s="732"/>
      <c r="M56" s="719"/>
    </row>
    <row r="57" spans="1:13" s="51" customFormat="1" x14ac:dyDescent="0.3">
      <c r="A57" s="895" t="s">
        <v>23</v>
      </c>
      <c r="B57" s="895"/>
      <c r="C57" s="895"/>
      <c r="D57" s="895"/>
      <c r="E57" s="895"/>
      <c r="F57" s="895"/>
      <c r="G57" s="895"/>
      <c r="H57" s="895"/>
      <c r="I57" s="895"/>
      <c r="J57" s="732"/>
      <c r="K57" s="732"/>
      <c r="L57" s="732"/>
      <c r="M57" s="719"/>
    </row>
    <row r="58" spans="1:13" s="51" customFormat="1" ht="32.25" customHeight="1" x14ac:dyDescent="0.3">
      <c r="A58" s="825">
        <v>1</v>
      </c>
      <c r="B58" s="885" t="str">
        <f>'ДХШ 3'!A30</f>
        <v>Медицинский осмотр</v>
      </c>
      <c r="C58" s="885"/>
      <c r="D58" s="885"/>
      <c r="E58" s="885"/>
      <c r="F58" s="825" t="str">
        <f>'ДХШ 3'!D30</f>
        <v>договор</v>
      </c>
      <c r="G58" s="908">
        <f>'ДХШ 3'!C30</f>
        <v>8.0000000000000002E-3</v>
      </c>
      <c r="H58" s="908"/>
      <c r="I58" s="825" t="s">
        <v>163</v>
      </c>
      <c r="J58" s="732"/>
      <c r="K58" s="732"/>
      <c r="L58" s="732"/>
      <c r="M58" s="719"/>
    </row>
    <row r="59" spans="1:13" s="51" customFormat="1" ht="64.5" customHeight="1" x14ac:dyDescent="0.3">
      <c r="A59" s="825">
        <v>2</v>
      </c>
      <c r="B59" s="885" t="str">
        <f>'ДХШ 3'!A31</f>
        <v>Производственный контроль, аккарицидная обработка, дератизация, дезинфекция и пр. санитарно-гигиенические меропориятия</v>
      </c>
      <c r="C59" s="885"/>
      <c r="D59" s="885"/>
      <c r="E59" s="885"/>
      <c r="F59" s="825" t="str">
        <f>'ДХШ 3'!D31</f>
        <v>договор</v>
      </c>
      <c r="G59" s="908">
        <f>'ДХШ 3'!C31</f>
        <v>8.0000000000000002E-3</v>
      </c>
      <c r="H59" s="908"/>
      <c r="I59" s="825" t="s">
        <v>163</v>
      </c>
      <c r="J59" s="732"/>
      <c r="K59" s="732"/>
      <c r="L59" s="732"/>
      <c r="M59" s="719"/>
    </row>
    <row r="60" spans="1:13" s="51" customFormat="1" ht="65.25" customHeight="1" x14ac:dyDescent="0.3">
      <c r="A60" s="825">
        <v>3</v>
      </c>
      <c r="B60" s="885" t="str">
        <f>'ДХШ 3'!A32</f>
        <v>Обучение персонала (электро, тепло, газовое хозяйство, пожарная безопасность, охрана труда и др.)</v>
      </c>
      <c r="C60" s="885"/>
      <c r="D60" s="885"/>
      <c r="E60" s="885"/>
      <c r="F60" s="825" t="str">
        <f>'ДХШ 3'!D32</f>
        <v>чел.</v>
      </c>
      <c r="G60" s="908">
        <f>'ДХШ 3'!C32</f>
        <v>0.02</v>
      </c>
      <c r="H60" s="908"/>
      <c r="I60" s="825" t="s">
        <v>163</v>
      </c>
      <c r="J60" s="732"/>
      <c r="K60" s="732"/>
      <c r="L60" s="732"/>
      <c r="M60" s="719"/>
    </row>
    <row r="61" spans="1:13" s="51" customFormat="1" ht="45.75" customHeight="1" x14ac:dyDescent="0.3">
      <c r="A61" s="825">
        <v>4</v>
      </c>
      <c r="B61" s="885" t="str">
        <f>'ДХШ 3'!A33</f>
        <v>Обслуживание программных комплексов</v>
      </c>
      <c r="C61" s="885"/>
      <c r="D61" s="885"/>
      <c r="E61" s="885"/>
      <c r="F61" s="825" t="str">
        <f>'ДХШ 3'!D33</f>
        <v>договор</v>
      </c>
      <c r="G61" s="908">
        <f>'ДХШ 3'!C33</f>
        <v>2.4E-2</v>
      </c>
      <c r="H61" s="908"/>
      <c r="I61" s="825" t="s">
        <v>163</v>
      </c>
      <c r="J61" s="732"/>
      <c r="K61" s="732"/>
      <c r="L61" s="732"/>
      <c r="M61" s="719"/>
    </row>
    <row r="62" spans="1:13" s="51" customFormat="1" ht="48.75" hidden="1" customHeight="1" x14ac:dyDescent="0.3">
      <c r="A62" s="825">
        <v>5</v>
      </c>
      <c r="B62" s="885" t="str">
        <f>'ДХШ 3'!A34</f>
        <v>Специальная оценка условий труда</v>
      </c>
      <c r="C62" s="885"/>
      <c r="D62" s="885"/>
      <c r="E62" s="885"/>
      <c r="F62" s="825" t="str">
        <f>'ДХШ 3'!D34</f>
        <v>чел.</v>
      </c>
      <c r="G62" s="908">
        <f>'ДХШ 3'!C34</f>
        <v>0</v>
      </c>
      <c r="H62" s="908"/>
      <c r="I62" s="825"/>
      <c r="J62" s="732"/>
      <c r="K62" s="732"/>
      <c r="L62" s="732"/>
      <c r="M62" s="719"/>
    </row>
    <row r="63" spans="1:13" s="51" customFormat="1" ht="42.75" hidden="1" customHeight="1" x14ac:dyDescent="0.3">
      <c r="A63" s="825">
        <v>6</v>
      </c>
      <c r="B63" s="885" t="str">
        <f>'ДХШ 3'!A35</f>
        <v>Страховое особо опасных объектов</v>
      </c>
      <c r="C63" s="885"/>
      <c r="D63" s="885"/>
      <c r="E63" s="885"/>
      <c r="F63" s="825" t="str">
        <f>'ДХШ 3'!D35</f>
        <v>договор</v>
      </c>
      <c r="G63" s="908">
        <f>'ДХШ 3'!C35</f>
        <v>0</v>
      </c>
      <c r="H63" s="908"/>
      <c r="I63" s="825"/>
      <c r="J63" s="732"/>
      <c r="K63" s="732"/>
      <c r="L63" s="732"/>
      <c r="M63" s="719"/>
    </row>
    <row r="64" spans="1:13" s="51" customFormat="1" ht="45.75" customHeight="1" x14ac:dyDescent="0.3">
      <c r="A64" s="825">
        <v>5</v>
      </c>
      <c r="B64" s="885" t="str">
        <f>'ДХШ 3'!A36</f>
        <v>Проверка и ремонт измерительных приборов</v>
      </c>
      <c r="C64" s="885"/>
      <c r="D64" s="885"/>
      <c r="E64" s="885"/>
      <c r="F64" s="825" t="str">
        <f>'ДХШ 3'!D36</f>
        <v>договор</v>
      </c>
      <c r="G64" s="908">
        <f>'ДХШ 3'!C36</f>
        <v>1.6E-2</v>
      </c>
      <c r="H64" s="908"/>
      <c r="I64" s="825" t="s">
        <v>163</v>
      </c>
      <c r="J64" s="732"/>
      <c r="K64" s="732"/>
      <c r="L64" s="732"/>
      <c r="M64" s="719"/>
    </row>
    <row r="65" spans="1:13" s="51" customFormat="1" x14ac:dyDescent="0.3">
      <c r="A65" s="732"/>
      <c r="B65" s="732"/>
      <c r="C65" s="732"/>
      <c r="D65" s="732"/>
      <c r="E65" s="732"/>
      <c r="F65" s="732"/>
      <c r="G65" s="732"/>
      <c r="H65" s="732"/>
      <c r="I65" s="732"/>
      <c r="J65" s="732"/>
      <c r="K65" s="732"/>
      <c r="L65" s="732"/>
      <c r="M65" s="719"/>
    </row>
    <row r="66" spans="1:13" s="51" customFormat="1" x14ac:dyDescent="0.3">
      <c r="A66" s="732"/>
      <c r="B66" s="732"/>
      <c r="C66" s="732"/>
      <c r="D66" s="732"/>
      <c r="E66" s="732"/>
      <c r="F66" s="732"/>
      <c r="G66" s="732"/>
      <c r="H66" s="732"/>
      <c r="I66" s="732"/>
      <c r="J66" s="732"/>
      <c r="K66" s="732"/>
      <c r="L66" s="732"/>
      <c r="M66" s="719"/>
    </row>
    <row r="67" spans="1:13" s="51" customFormat="1" x14ac:dyDescent="0.3">
      <c r="A67" s="901" t="s">
        <v>4</v>
      </c>
      <c r="B67" s="901"/>
      <c r="C67" s="901"/>
      <c r="D67" s="901"/>
      <c r="E67" s="901"/>
      <c r="F67" s="901"/>
      <c r="G67" s="901"/>
      <c r="H67" s="901"/>
      <c r="I67" s="901"/>
      <c r="J67" s="732"/>
      <c r="K67" s="732"/>
      <c r="L67" s="732"/>
      <c r="M67" s="719"/>
    </row>
    <row r="68" spans="1:13" s="51" customFormat="1" x14ac:dyDescent="0.3">
      <c r="A68" s="901" t="s">
        <v>5</v>
      </c>
      <c r="B68" s="901"/>
      <c r="C68" s="901"/>
      <c r="D68" s="901"/>
      <c r="E68" s="901"/>
      <c r="F68" s="901"/>
      <c r="G68" s="901"/>
      <c r="H68" s="901"/>
      <c r="I68" s="901"/>
      <c r="J68" s="732"/>
      <c r="K68" s="732"/>
      <c r="L68" s="732"/>
      <c r="M68" s="719"/>
    </row>
    <row r="69" spans="1:13" s="51" customFormat="1" x14ac:dyDescent="0.3">
      <c r="A69" s="901" t="s">
        <v>6</v>
      </c>
      <c r="B69" s="901"/>
      <c r="C69" s="901"/>
      <c r="D69" s="901"/>
      <c r="E69" s="901"/>
      <c r="F69" s="901"/>
      <c r="G69" s="901"/>
      <c r="H69" s="901"/>
      <c r="I69" s="901"/>
      <c r="J69" s="732"/>
      <c r="K69" s="732"/>
      <c r="L69" s="732"/>
      <c r="M69" s="719"/>
    </row>
    <row r="70" spans="1:13" s="51" customFormat="1" ht="21" customHeight="1" x14ac:dyDescent="0.3">
      <c r="A70" s="910" t="s">
        <v>38</v>
      </c>
      <c r="B70" s="901"/>
      <c r="C70" s="901"/>
      <c r="D70" s="901"/>
      <c r="E70" s="901"/>
      <c r="F70" s="901"/>
      <c r="G70" s="901"/>
      <c r="H70" s="901"/>
      <c r="I70" s="901"/>
      <c r="J70" s="732"/>
      <c r="K70" s="732"/>
      <c r="L70" s="732"/>
      <c r="M70" s="719"/>
    </row>
    <row r="71" spans="1:13" s="51" customFormat="1" ht="36.75" customHeight="1" x14ac:dyDescent="0.3">
      <c r="A71" s="912" t="s">
        <v>222</v>
      </c>
      <c r="B71" s="912"/>
      <c r="C71" s="912"/>
      <c r="D71" s="912"/>
      <c r="E71" s="912"/>
      <c r="F71" s="912"/>
      <c r="G71" s="912"/>
      <c r="H71" s="912"/>
      <c r="I71" s="912"/>
      <c r="J71" s="732"/>
      <c r="K71" s="732"/>
      <c r="L71" s="732"/>
      <c r="M71" s="719"/>
    </row>
    <row r="72" spans="1:13" s="51" customFormat="1" x14ac:dyDescent="0.3">
      <c r="A72" s="905" t="s">
        <v>117</v>
      </c>
      <c r="B72" s="905"/>
      <c r="C72" s="905"/>
      <c r="D72" s="905"/>
      <c r="E72" s="905"/>
      <c r="F72" s="905"/>
      <c r="G72" s="905"/>
      <c r="H72" s="905"/>
      <c r="I72" s="905"/>
      <c r="J72" s="732"/>
      <c r="K72" s="904" t="s">
        <v>119</v>
      </c>
      <c r="L72" s="904"/>
      <c r="M72" s="904"/>
    </row>
    <row r="73" spans="1:13" s="51" customFormat="1" x14ac:dyDescent="0.3">
      <c r="A73" s="719"/>
      <c r="B73" s="719"/>
      <c r="C73" s="719"/>
      <c r="D73" s="719"/>
      <c r="E73" s="719"/>
      <c r="F73" s="719"/>
      <c r="G73" s="719"/>
      <c r="H73" s="719"/>
      <c r="I73" s="719"/>
      <c r="J73" s="732"/>
      <c r="K73" s="732"/>
      <c r="L73" s="732"/>
      <c r="M73" s="719"/>
    </row>
    <row r="74" spans="1:13" s="51" customFormat="1" ht="75" x14ac:dyDescent="0.3">
      <c r="A74" s="720" t="s">
        <v>9</v>
      </c>
      <c r="B74" s="883" t="s">
        <v>10</v>
      </c>
      <c r="C74" s="883"/>
      <c r="D74" s="883"/>
      <c r="E74" s="883"/>
      <c r="F74" s="826" t="s">
        <v>11</v>
      </c>
      <c r="G74" s="883" t="s">
        <v>12</v>
      </c>
      <c r="H74" s="883"/>
      <c r="I74" s="826" t="s">
        <v>13</v>
      </c>
      <c r="J74" s="732"/>
      <c r="K74" s="732"/>
      <c r="L74" s="732"/>
      <c r="M74" s="719"/>
    </row>
    <row r="75" spans="1:13" s="51" customFormat="1" x14ac:dyDescent="0.3">
      <c r="A75" s="825">
        <v>1</v>
      </c>
      <c r="B75" s="884">
        <v>2</v>
      </c>
      <c r="C75" s="884"/>
      <c r="D75" s="884"/>
      <c r="E75" s="884"/>
      <c r="F75" s="825">
        <v>3</v>
      </c>
      <c r="G75" s="884">
        <v>4</v>
      </c>
      <c r="H75" s="884"/>
      <c r="I75" s="825">
        <v>5</v>
      </c>
      <c r="J75" s="732"/>
      <c r="K75" s="732"/>
      <c r="L75" s="732"/>
      <c r="M75" s="719"/>
    </row>
    <row r="76" spans="1:13" s="51" customFormat="1" x14ac:dyDescent="0.3">
      <c r="A76" s="900" t="s">
        <v>18</v>
      </c>
      <c r="B76" s="900"/>
      <c r="C76" s="900"/>
      <c r="D76" s="900"/>
      <c r="E76" s="900"/>
      <c r="F76" s="900"/>
      <c r="G76" s="900"/>
      <c r="H76" s="900"/>
      <c r="I76" s="900"/>
      <c r="J76" s="732"/>
      <c r="K76" s="732"/>
      <c r="L76" s="732"/>
      <c r="M76" s="719"/>
    </row>
    <row r="77" spans="1:13" s="51" customFormat="1" x14ac:dyDescent="0.3">
      <c r="A77" s="895" t="s">
        <v>14</v>
      </c>
      <c r="B77" s="895"/>
      <c r="C77" s="895"/>
      <c r="D77" s="895"/>
      <c r="E77" s="895"/>
      <c r="F77" s="895"/>
      <c r="G77" s="895"/>
      <c r="H77" s="895"/>
      <c r="I77" s="895"/>
      <c r="J77" s="732"/>
      <c r="K77" s="732"/>
      <c r="L77" s="732"/>
      <c r="M77" s="719"/>
    </row>
    <row r="78" spans="1:13" s="51" customFormat="1" x14ac:dyDescent="0.3">
      <c r="A78" s="825">
        <v>1</v>
      </c>
      <c r="B78" s="884" t="str">
        <f>ДШИ!B5</f>
        <v xml:space="preserve">преподаватель </v>
      </c>
      <c r="C78" s="884"/>
      <c r="D78" s="884"/>
      <c r="E78" s="884"/>
      <c r="F78" s="825" t="s">
        <v>162</v>
      </c>
      <c r="G78" s="883">
        <f>ДШИ!E5</f>
        <v>38.22</v>
      </c>
      <c r="H78" s="883"/>
      <c r="I78" s="825" t="s">
        <v>163</v>
      </c>
      <c r="J78" s="732"/>
      <c r="K78" s="732"/>
      <c r="L78" s="732"/>
      <c r="M78" s="719"/>
    </row>
    <row r="79" spans="1:13" s="51" customFormat="1" x14ac:dyDescent="0.3">
      <c r="A79" s="825"/>
      <c r="B79" s="884"/>
      <c r="C79" s="884"/>
      <c r="D79" s="884"/>
      <c r="E79" s="884"/>
      <c r="F79" s="825"/>
      <c r="G79" s="884"/>
      <c r="H79" s="884"/>
      <c r="I79" s="825"/>
      <c r="J79" s="732"/>
      <c r="K79" s="732"/>
      <c r="L79" s="732"/>
      <c r="M79" s="719"/>
    </row>
    <row r="80" spans="1:13" s="51" customFormat="1" ht="60.75" customHeight="1" x14ac:dyDescent="0.3">
      <c r="A80" s="895" t="s">
        <v>15</v>
      </c>
      <c r="B80" s="895"/>
      <c r="C80" s="895"/>
      <c r="D80" s="895"/>
      <c r="E80" s="895"/>
      <c r="F80" s="895"/>
      <c r="G80" s="895"/>
      <c r="H80" s="895"/>
      <c r="I80" s="895"/>
      <c r="J80" s="732"/>
      <c r="K80" s="732"/>
      <c r="L80" s="732"/>
      <c r="M80" s="719"/>
    </row>
    <row r="81" spans="1:13" s="51" customFormat="1" x14ac:dyDescent="0.3">
      <c r="A81" s="825">
        <v>1</v>
      </c>
      <c r="B81" s="885" t="str">
        <f>'ДШИ 2'!A4</f>
        <v>учебники</v>
      </c>
      <c r="C81" s="885"/>
      <c r="D81" s="885"/>
      <c r="E81" s="885"/>
      <c r="F81" s="825" t="str">
        <f>'ДШИ 2'!L4</f>
        <v>шт.</v>
      </c>
      <c r="G81" s="883">
        <f>'ДШИ 2'!C4</f>
        <v>0.06</v>
      </c>
      <c r="H81" s="883"/>
      <c r="I81" s="825">
        <v>7</v>
      </c>
      <c r="J81" s="732"/>
      <c r="K81" s="732"/>
      <c r="L81" s="732"/>
      <c r="M81" s="719"/>
    </row>
    <row r="82" spans="1:13" s="51" customFormat="1" ht="27.75" customHeight="1" x14ac:dyDescent="0.3">
      <c r="A82" s="825">
        <v>2</v>
      </c>
      <c r="B82" s="885" t="str">
        <f>'ДШИ 2'!A5</f>
        <v>учебные таблицы</v>
      </c>
      <c r="C82" s="885"/>
      <c r="D82" s="885"/>
      <c r="E82" s="885"/>
      <c r="F82" s="825" t="str">
        <f>'ДШИ 2'!L5</f>
        <v>шт.</v>
      </c>
      <c r="G82" s="908">
        <f>'ДШИ 2'!C5</f>
        <v>4.0000000000000001E-3</v>
      </c>
      <c r="H82" s="908"/>
      <c r="I82" s="825">
        <v>7</v>
      </c>
      <c r="J82" s="732"/>
      <c r="K82" s="732"/>
      <c r="L82" s="732"/>
      <c r="M82" s="719"/>
    </row>
    <row r="83" spans="1:13" s="51" customFormat="1" x14ac:dyDescent="0.3">
      <c r="A83" s="825">
        <v>3</v>
      </c>
      <c r="B83" s="885" t="str">
        <f>'ДШИ 2'!A6</f>
        <v>фоно и видеотека</v>
      </c>
      <c r="C83" s="885"/>
      <c r="D83" s="885"/>
      <c r="E83" s="885"/>
      <c r="F83" s="825" t="str">
        <f>'ДШИ 2'!L6</f>
        <v>шт.</v>
      </c>
      <c r="G83" s="908">
        <f>'ДШИ 2'!C6</f>
        <v>5.0000000000000001E-3</v>
      </c>
      <c r="H83" s="908"/>
      <c r="I83" s="825">
        <v>7</v>
      </c>
      <c r="J83" s="732"/>
      <c r="K83" s="732"/>
      <c r="L83" s="732"/>
      <c r="M83" s="719"/>
    </row>
    <row r="84" spans="1:13" s="51" customFormat="1" ht="39" customHeight="1" x14ac:dyDescent="0.3">
      <c r="A84" s="825">
        <v>4</v>
      </c>
      <c r="B84" s="885" t="str">
        <f>'ДШИ 2'!A7</f>
        <v>методическая и иная литература</v>
      </c>
      <c r="C84" s="885"/>
      <c r="D84" s="885"/>
      <c r="E84" s="885"/>
      <c r="F84" s="825" t="str">
        <f>'ДШИ 2'!L7</f>
        <v>шт.</v>
      </c>
      <c r="G84" s="908">
        <f>'ДШИ 2'!C7</f>
        <v>1E-3</v>
      </c>
      <c r="H84" s="908"/>
      <c r="I84" s="825">
        <v>7</v>
      </c>
      <c r="J84" s="732"/>
      <c r="K84" s="732"/>
      <c r="L84" s="732"/>
      <c r="M84" s="719"/>
    </row>
    <row r="85" spans="1:13" s="51" customFormat="1" ht="22.5" customHeight="1" x14ac:dyDescent="0.3">
      <c r="A85" s="825">
        <v>5</v>
      </c>
      <c r="B85" s="885" t="str">
        <f>'ДШИ 2'!A8</f>
        <v>нотная литература</v>
      </c>
      <c r="C85" s="885"/>
      <c r="D85" s="885"/>
      <c r="E85" s="885"/>
      <c r="F85" s="825" t="str">
        <f>'ДШИ 2'!L8</f>
        <v>шт.</v>
      </c>
      <c r="G85" s="908">
        <f>'ДШИ 2'!C8</f>
        <v>1.7000000000000001E-2</v>
      </c>
      <c r="H85" s="908"/>
      <c r="I85" s="825">
        <v>7</v>
      </c>
      <c r="J85" s="732"/>
      <c r="K85" s="732"/>
      <c r="L85" s="732"/>
      <c r="M85" s="719"/>
    </row>
    <row r="86" spans="1:13" s="51" customFormat="1" ht="38.25" customHeight="1" x14ac:dyDescent="0.3">
      <c r="A86" s="825">
        <v>6</v>
      </c>
      <c r="B86" s="885" t="str">
        <f>'ДШИ 2'!A9</f>
        <v>трости для духовых инструментов</v>
      </c>
      <c r="C86" s="885"/>
      <c r="D86" s="885"/>
      <c r="E86" s="885"/>
      <c r="F86" s="825" t="str">
        <f>'ДШИ 2'!L9</f>
        <v>шт.</v>
      </c>
      <c r="G86" s="883">
        <f>'ДШИ 2'!C9</f>
        <v>0.12</v>
      </c>
      <c r="H86" s="883"/>
      <c r="I86" s="825">
        <v>3</v>
      </c>
      <c r="J86" s="732"/>
      <c r="K86" s="732"/>
      <c r="L86" s="732"/>
      <c r="M86" s="719"/>
    </row>
    <row r="87" spans="1:13" s="51" customFormat="1" ht="44.25" customHeight="1" x14ac:dyDescent="0.3">
      <c r="A87" s="825">
        <v>7</v>
      </c>
      <c r="B87" s="885" t="str">
        <f>'ДШИ 2'!A10</f>
        <v>струны для народных инструментов</v>
      </c>
      <c r="C87" s="885"/>
      <c r="D87" s="885"/>
      <c r="E87" s="885"/>
      <c r="F87" s="825" t="str">
        <f>'ДШИ 2'!L10</f>
        <v>шт.</v>
      </c>
      <c r="G87" s="883">
        <f>'ДШИ 2'!C10</f>
        <v>0.15</v>
      </c>
      <c r="H87" s="883"/>
      <c r="I87" s="825">
        <v>2</v>
      </c>
      <c r="J87" s="732"/>
      <c r="K87" s="732"/>
      <c r="L87" s="732"/>
      <c r="M87" s="719"/>
    </row>
    <row r="88" spans="1:13" s="51" customFormat="1" ht="27.75" customHeight="1" x14ac:dyDescent="0.3">
      <c r="A88" s="825">
        <v>8</v>
      </c>
      <c r="B88" s="885" t="str">
        <f>'ДШИ 2'!A11</f>
        <v>обувь хореографическая</v>
      </c>
      <c r="C88" s="885"/>
      <c r="D88" s="885"/>
      <c r="E88" s="885"/>
      <c r="F88" s="825" t="str">
        <f>'ДШИ 2'!L11</f>
        <v>шт.</v>
      </c>
      <c r="G88" s="883">
        <f>'ДШИ 2'!C11</f>
        <v>0.02</v>
      </c>
      <c r="H88" s="883"/>
      <c r="I88" s="825">
        <v>5</v>
      </c>
      <c r="J88" s="732"/>
      <c r="K88" s="732"/>
      <c r="L88" s="732"/>
      <c r="M88" s="719"/>
    </row>
    <row r="89" spans="1:13" s="51" customFormat="1" ht="62.25" customHeight="1" x14ac:dyDescent="0.3">
      <c r="A89" s="895" t="s">
        <v>16</v>
      </c>
      <c r="B89" s="895"/>
      <c r="C89" s="895"/>
      <c r="D89" s="895"/>
      <c r="E89" s="895"/>
      <c r="F89" s="895"/>
      <c r="G89" s="895"/>
      <c r="H89" s="895"/>
      <c r="I89" s="895"/>
      <c r="J89" s="732"/>
      <c r="K89" s="732"/>
      <c r="L89" s="732"/>
      <c r="M89" s="719"/>
    </row>
    <row r="90" spans="1:13" s="51" customFormat="1" x14ac:dyDescent="0.3">
      <c r="A90" s="825"/>
      <c r="B90" s="884"/>
      <c r="C90" s="884"/>
      <c r="D90" s="884"/>
      <c r="E90" s="884"/>
      <c r="F90" s="825"/>
      <c r="G90" s="884"/>
      <c r="H90" s="884"/>
      <c r="I90" s="825"/>
      <c r="J90" s="732"/>
      <c r="K90" s="732"/>
      <c r="L90" s="732"/>
      <c r="M90" s="719"/>
    </row>
    <row r="91" spans="1:13" s="51" customFormat="1" x14ac:dyDescent="0.3">
      <c r="A91" s="825"/>
      <c r="B91" s="884"/>
      <c r="C91" s="884"/>
      <c r="D91" s="884"/>
      <c r="E91" s="884"/>
      <c r="F91" s="825"/>
      <c r="G91" s="884"/>
      <c r="H91" s="884"/>
      <c r="I91" s="825"/>
      <c r="J91" s="732"/>
      <c r="K91" s="732"/>
      <c r="L91" s="732"/>
      <c r="M91" s="719"/>
    </row>
    <row r="92" spans="1:13" s="51" customFormat="1" x14ac:dyDescent="0.3">
      <c r="A92" s="899"/>
      <c r="B92" s="883"/>
      <c r="C92" s="883"/>
      <c r="D92" s="883"/>
      <c r="E92" s="883"/>
      <c r="F92" s="883"/>
      <c r="G92" s="883"/>
      <c r="H92" s="883"/>
      <c r="I92" s="883"/>
      <c r="J92" s="732"/>
      <c r="K92" s="732"/>
      <c r="L92" s="732"/>
      <c r="M92" s="719"/>
    </row>
    <row r="93" spans="1:13" s="51" customFormat="1" ht="41.25" customHeight="1" x14ac:dyDescent="0.3">
      <c r="A93" s="896" t="s">
        <v>19</v>
      </c>
      <c r="B93" s="897"/>
      <c r="C93" s="897"/>
      <c r="D93" s="897"/>
      <c r="E93" s="897"/>
      <c r="F93" s="897"/>
      <c r="G93" s="897"/>
      <c r="H93" s="897"/>
      <c r="I93" s="898"/>
      <c r="J93" s="732"/>
      <c r="K93" s="732"/>
      <c r="L93" s="732"/>
      <c r="M93" s="719"/>
    </row>
    <row r="94" spans="1:13" s="51" customFormat="1" ht="40.5" customHeight="1" x14ac:dyDescent="0.3">
      <c r="A94" s="825">
        <v>1</v>
      </c>
      <c r="B94" s="885" t="str">
        <f>'ДШИ 3'!A27</f>
        <v>Административно управленческий персонал</v>
      </c>
      <c r="C94" s="885"/>
      <c r="D94" s="885"/>
      <c r="E94" s="885"/>
      <c r="F94" s="825" t="s">
        <v>162</v>
      </c>
      <c r="G94" s="883">
        <f>'ДШИ 3'!C27</f>
        <v>9.5</v>
      </c>
      <c r="H94" s="883"/>
      <c r="I94" s="825" t="s">
        <v>163</v>
      </c>
      <c r="J94" s="732"/>
      <c r="K94" s="732"/>
      <c r="L94" s="732"/>
      <c r="M94" s="719"/>
    </row>
    <row r="95" spans="1:13" s="51" customFormat="1" ht="40.5" customHeight="1" x14ac:dyDescent="0.3">
      <c r="A95" s="825">
        <v>2</v>
      </c>
      <c r="B95" s="885" t="str">
        <f>'ДШИ 3'!A28</f>
        <v>Прочий обслуживающий персонал</v>
      </c>
      <c r="C95" s="885"/>
      <c r="D95" s="885"/>
      <c r="E95" s="885"/>
      <c r="F95" s="825" t="s">
        <v>162</v>
      </c>
      <c r="G95" s="883">
        <f>'ДШИ 3'!C28</f>
        <v>66.53</v>
      </c>
      <c r="H95" s="883"/>
      <c r="I95" s="825" t="s">
        <v>163</v>
      </c>
      <c r="J95" s="732"/>
      <c r="K95" s="732"/>
      <c r="L95" s="732"/>
      <c r="M95" s="719"/>
    </row>
    <row r="96" spans="1:13" s="51" customFormat="1" x14ac:dyDescent="0.3">
      <c r="A96" s="825"/>
      <c r="B96" s="884"/>
      <c r="C96" s="884"/>
      <c r="D96" s="884"/>
      <c r="E96" s="884"/>
      <c r="F96" s="825"/>
      <c r="G96" s="884"/>
      <c r="H96" s="884"/>
      <c r="I96" s="825"/>
      <c r="J96" s="732"/>
      <c r="K96" s="732"/>
      <c r="L96" s="732"/>
      <c r="M96" s="719"/>
    </row>
    <row r="97" spans="1:13" s="51" customFormat="1" x14ac:dyDescent="0.3">
      <c r="A97" s="825"/>
      <c r="B97" s="884"/>
      <c r="C97" s="884"/>
      <c r="D97" s="884"/>
      <c r="E97" s="884"/>
      <c r="F97" s="825"/>
      <c r="G97" s="884"/>
      <c r="H97" s="884"/>
      <c r="I97" s="825"/>
      <c r="J97" s="732"/>
      <c r="K97" s="732"/>
      <c r="L97" s="732"/>
      <c r="M97" s="719"/>
    </row>
    <row r="98" spans="1:13" s="51" customFormat="1" ht="20.25" customHeight="1" x14ac:dyDescent="0.3">
      <c r="A98" s="896" t="s">
        <v>20</v>
      </c>
      <c r="B98" s="897"/>
      <c r="C98" s="897"/>
      <c r="D98" s="897"/>
      <c r="E98" s="897"/>
      <c r="F98" s="897"/>
      <c r="G98" s="897"/>
      <c r="H98" s="897"/>
      <c r="I98" s="898"/>
      <c r="J98" s="732"/>
      <c r="K98" s="732"/>
      <c r="L98" s="732"/>
      <c r="M98" s="719"/>
    </row>
    <row r="99" spans="1:13" s="51" customFormat="1" ht="39" customHeight="1" x14ac:dyDescent="0.3">
      <c r="A99" s="825">
        <v>1</v>
      </c>
      <c r="B99" s="885" t="str">
        <f>'ДШИ 3'!A6</f>
        <v>оплата отопления и технологических нужд</v>
      </c>
      <c r="C99" s="885"/>
      <c r="D99" s="885"/>
      <c r="E99" s="885"/>
      <c r="F99" s="825" t="str">
        <f>'ДШИ 3'!D6</f>
        <v>Гкалл</v>
      </c>
      <c r="G99" s="908">
        <f>'ДШИ 3'!C6</f>
        <v>0.18420288941418222</v>
      </c>
      <c r="H99" s="908"/>
      <c r="I99" s="825" t="s">
        <v>163</v>
      </c>
      <c r="J99" s="732"/>
      <c r="K99" s="732"/>
      <c r="L99" s="732"/>
      <c r="M99" s="719"/>
    </row>
    <row r="100" spans="1:13" s="51" customFormat="1" ht="42.75" customHeight="1" x14ac:dyDescent="0.3">
      <c r="A100" s="825">
        <v>2</v>
      </c>
      <c r="B100" s="885" t="str">
        <f>'ДШИ 3'!A7</f>
        <v>оплата потребления электрической энергии</v>
      </c>
      <c r="C100" s="885"/>
      <c r="D100" s="885"/>
      <c r="E100" s="885"/>
      <c r="F100" s="825" t="str">
        <f>'ДШИ 3'!D7</f>
        <v>Кват/ч</v>
      </c>
      <c r="G100" s="908">
        <f>'ДШИ 3'!C7</f>
        <v>24.542053000555086</v>
      </c>
      <c r="H100" s="908"/>
      <c r="I100" s="825" t="s">
        <v>163</v>
      </c>
      <c r="J100" s="732"/>
      <c r="K100" s="732"/>
      <c r="L100" s="732"/>
      <c r="M100" s="719"/>
    </row>
    <row r="101" spans="1:13" s="51" customFormat="1" ht="42.75" customHeight="1" x14ac:dyDescent="0.3">
      <c r="A101" s="825">
        <v>3</v>
      </c>
      <c r="B101" s="885" t="str">
        <f>'ДШИ 3'!A8</f>
        <v>оплата водоснабжения и водоотведения</v>
      </c>
      <c r="C101" s="885"/>
      <c r="D101" s="885"/>
      <c r="E101" s="885"/>
      <c r="F101" s="825" t="str">
        <f>'ДШИ 3'!D8</f>
        <v>м3</v>
      </c>
      <c r="G101" s="908">
        <f>'ДШИ 3'!C8</f>
        <v>0.34380794765981731</v>
      </c>
      <c r="H101" s="908"/>
      <c r="I101" s="825" t="s">
        <v>163</v>
      </c>
      <c r="J101" s="732"/>
      <c r="K101" s="732"/>
      <c r="L101" s="732"/>
      <c r="M101" s="719"/>
    </row>
    <row r="102" spans="1:13" s="51" customFormat="1" x14ac:dyDescent="0.3">
      <c r="A102" s="825"/>
      <c r="B102" s="884"/>
      <c r="C102" s="884"/>
      <c r="D102" s="884"/>
      <c r="E102" s="884"/>
      <c r="F102" s="825"/>
      <c r="G102" s="884"/>
      <c r="H102" s="884"/>
      <c r="I102" s="825"/>
      <c r="J102" s="732"/>
      <c r="K102" s="732"/>
      <c r="L102" s="732"/>
      <c r="M102" s="719"/>
    </row>
    <row r="103" spans="1:13" s="51" customFormat="1" x14ac:dyDescent="0.3">
      <c r="A103" s="900" t="s">
        <v>21</v>
      </c>
      <c r="B103" s="895"/>
      <c r="C103" s="895"/>
      <c r="D103" s="895"/>
      <c r="E103" s="895"/>
      <c r="F103" s="895"/>
      <c r="G103" s="895"/>
      <c r="H103" s="895"/>
      <c r="I103" s="895"/>
      <c r="J103" s="732"/>
      <c r="K103" s="732"/>
      <c r="L103" s="732"/>
      <c r="M103" s="719"/>
    </row>
    <row r="104" spans="1:13" s="51" customFormat="1" ht="38.25" customHeight="1" x14ac:dyDescent="0.3">
      <c r="A104" s="825">
        <v>1</v>
      </c>
      <c r="B104" s="885" t="str">
        <f>'ДШИ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104" s="885"/>
      <c r="D104" s="885"/>
      <c r="E104" s="885"/>
      <c r="F104" s="825" t="str">
        <f>'ДШИ 3'!D11</f>
        <v>договор</v>
      </c>
      <c r="G104" s="908">
        <f>'ДШИ 3'!C11</f>
        <v>5.4945054945054949E-3</v>
      </c>
      <c r="H104" s="908"/>
      <c r="I104" s="825" t="s">
        <v>163</v>
      </c>
      <c r="J104" s="732"/>
      <c r="K104" s="732"/>
      <c r="L104" s="732"/>
      <c r="M104" s="719"/>
    </row>
    <row r="105" spans="1:13" s="51" customFormat="1" ht="57" hidden="1" customHeight="1" x14ac:dyDescent="0.3">
      <c r="A105" s="825">
        <v>2</v>
      </c>
      <c r="B105" s="885" t="str">
        <f>'ДШИ 3'!A12</f>
        <v>Техническое обслуживание газового оборудования, дымоходов</v>
      </c>
      <c r="C105" s="885"/>
      <c r="D105" s="885"/>
      <c r="E105" s="885"/>
      <c r="F105" s="825" t="str">
        <f>'ДШИ 3'!D12</f>
        <v>договор</v>
      </c>
      <c r="G105" s="908">
        <f>'ДШИ 3'!C12</f>
        <v>0</v>
      </c>
      <c r="H105" s="908"/>
      <c r="I105" s="825"/>
      <c r="J105" s="732"/>
      <c r="K105" s="732"/>
      <c r="L105" s="732"/>
      <c r="M105" s="719"/>
    </row>
    <row r="106" spans="1:13" s="51" customFormat="1" ht="67.5" customHeight="1" x14ac:dyDescent="0.3">
      <c r="A106" s="825">
        <v>2</v>
      </c>
      <c r="B106" s="885" t="str">
        <f>'ДШИ 3'!A13</f>
        <v>Техническое обслуживание и регламентно-профилактический ремонт, в том числе на подготовку отопительной системы к зимнему сезону</v>
      </c>
      <c r="C106" s="885"/>
      <c r="D106" s="885"/>
      <c r="E106" s="885"/>
      <c r="F106" s="825" t="str">
        <f>'ДШИ 3'!D13</f>
        <v>договор</v>
      </c>
      <c r="G106" s="908">
        <f>'ДШИ 3'!C13</f>
        <v>1.098901098901099E-2</v>
      </c>
      <c r="H106" s="908"/>
      <c r="I106" s="825" t="s">
        <v>163</v>
      </c>
      <c r="J106" s="732"/>
      <c r="K106" s="732"/>
      <c r="L106" s="732"/>
      <c r="M106" s="719"/>
    </row>
    <row r="107" spans="1:13" s="51" customFormat="1" ht="53.25" customHeight="1" x14ac:dyDescent="0.3">
      <c r="A107" s="825">
        <v>3</v>
      </c>
      <c r="B107" s="885" t="str">
        <f>'ДШИ 3'!A14</f>
        <v>Техническое обслуживание и регламентно-профилактический ремонт электрооборудования</v>
      </c>
      <c r="C107" s="885"/>
      <c r="D107" s="885"/>
      <c r="E107" s="885"/>
      <c r="F107" s="825" t="str">
        <f>'ДШИ 3'!D14</f>
        <v>договор</v>
      </c>
      <c r="G107" s="908">
        <f>'ДШИ 3'!C14</f>
        <v>5.4945054945054949E-3</v>
      </c>
      <c r="H107" s="908"/>
      <c r="I107" s="825" t="s">
        <v>163</v>
      </c>
      <c r="J107" s="732"/>
      <c r="K107" s="732"/>
      <c r="L107" s="732"/>
      <c r="M107" s="719"/>
    </row>
    <row r="108" spans="1:13" s="51" customFormat="1" ht="42.75" customHeight="1" x14ac:dyDescent="0.3">
      <c r="A108" s="825">
        <v>4</v>
      </c>
      <c r="B108" s="885" t="str">
        <f>'ДШИ 3'!A15</f>
        <v>Вывоз твердых бытовых отходов, утилизация отходов</v>
      </c>
      <c r="C108" s="885"/>
      <c r="D108" s="885"/>
      <c r="E108" s="885"/>
      <c r="F108" s="825" t="str">
        <f>'ДШИ 3'!D15</f>
        <v>договор</v>
      </c>
      <c r="G108" s="908">
        <f>'ДШИ 3'!C15</f>
        <v>5.4945054945054949E-3</v>
      </c>
      <c r="H108" s="908"/>
      <c r="I108" s="825" t="s">
        <v>163</v>
      </c>
      <c r="J108" s="732"/>
      <c r="K108" s="732"/>
      <c r="L108" s="732"/>
      <c r="M108" s="719"/>
    </row>
    <row r="109" spans="1:13" s="51" customFormat="1" x14ac:dyDescent="0.3">
      <c r="A109" s="825"/>
      <c r="B109" s="884"/>
      <c r="C109" s="884"/>
      <c r="D109" s="884"/>
      <c r="E109" s="884"/>
      <c r="F109" s="825"/>
      <c r="G109" s="884"/>
      <c r="H109" s="884"/>
      <c r="I109" s="825"/>
      <c r="J109" s="732"/>
      <c r="K109" s="732"/>
      <c r="L109" s="732"/>
      <c r="M109" s="719"/>
    </row>
    <row r="110" spans="1:13" s="51" customFormat="1" x14ac:dyDescent="0.3">
      <c r="A110" s="825"/>
      <c r="B110" s="884"/>
      <c r="C110" s="884"/>
      <c r="D110" s="884"/>
      <c r="E110" s="884"/>
      <c r="F110" s="825"/>
      <c r="G110" s="884"/>
      <c r="H110" s="884"/>
      <c r="I110" s="825"/>
      <c r="J110" s="732"/>
      <c r="K110" s="732"/>
      <c r="L110" s="732"/>
      <c r="M110" s="719"/>
    </row>
    <row r="111" spans="1:13" s="51" customFormat="1" x14ac:dyDescent="0.3">
      <c r="A111" s="895" t="s">
        <v>22</v>
      </c>
      <c r="B111" s="895"/>
      <c r="C111" s="895"/>
      <c r="D111" s="895"/>
      <c r="E111" s="895"/>
      <c r="F111" s="895"/>
      <c r="G111" s="895"/>
      <c r="H111" s="895"/>
      <c r="I111" s="895"/>
      <c r="J111" s="732"/>
      <c r="K111" s="732"/>
      <c r="L111" s="732"/>
      <c r="M111" s="719"/>
    </row>
    <row r="112" spans="1:13" s="51" customFormat="1" x14ac:dyDescent="0.3">
      <c r="A112" s="825">
        <v>1</v>
      </c>
      <c r="B112" s="885" t="str">
        <f>'ДШИ 3'!A23</f>
        <v>интернет</v>
      </c>
      <c r="C112" s="885"/>
      <c r="D112" s="885"/>
      <c r="E112" s="885"/>
      <c r="F112" s="825" t="str">
        <f>'ДШИ 3'!D23</f>
        <v>Г</v>
      </c>
      <c r="G112" s="908">
        <f>'ДШИ 3'!C23</f>
        <v>2.0669291338582676</v>
      </c>
      <c r="H112" s="908"/>
      <c r="I112" s="825" t="s">
        <v>163</v>
      </c>
      <c r="J112" s="732"/>
      <c r="K112" s="732"/>
      <c r="L112" s="732"/>
      <c r="M112" s="719"/>
    </row>
    <row r="113" spans="1:13" s="51" customFormat="1" x14ac:dyDescent="0.3">
      <c r="A113" s="825">
        <v>2</v>
      </c>
      <c r="B113" s="885" t="str">
        <f>'ДШИ 3'!A24</f>
        <v>услуги связи</v>
      </c>
      <c r="C113" s="885"/>
      <c r="D113" s="885"/>
      <c r="E113" s="885"/>
      <c r="F113" s="825" t="str">
        <f>'ДШИ 3'!D24</f>
        <v>мин.</v>
      </c>
      <c r="G113" s="908">
        <f>'ДШИ 3'!C24</f>
        <v>45.833333333333336</v>
      </c>
      <c r="H113" s="908"/>
      <c r="I113" s="825" t="s">
        <v>163</v>
      </c>
      <c r="J113" s="732"/>
      <c r="K113" s="732"/>
      <c r="L113" s="732"/>
      <c r="M113" s="719"/>
    </row>
    <row r="114" spans="1:13" s="51" customFormat="1" x14ac:dyDescent="0.3">
      <c r="A114" s="825"/>
      <c r="B114" s="884"/>
      <c r="C114" s="884"/>
      <c r="D114" s="884"/>
      <c r="E114" s="884"/>
      <c r="F114" s="825"/>
      <c r="G114" s="884"/>
      <c r="H114" s="884"/>
      <c r="I114" s="825"/>
      <c r="J114" s="732"/>
      <c r="K114" s="732"/>
      <c r="L114" s="732"/>
      <c r="M114" s="719"/>
    </row>
    <row r="115" spans="1:13" s="51" customFormat="1" x14ac:dyDescent="0.3">
      <c r="A115" s="895" t="s">
        <v>23</v>
      </c>
      <c r="B115" s="895"/>
      <c r="C115" s="895"/>
      <c r="D115" s="895"/>
      <c r="E115" s="895"/>
      <c r="F115" s="895"/>
      <c r="G115" s="895"/>
      <c r="H115" s="895"/>
      <c r="I115" s="895"/>
      <c r="J115" s="732"/>
      <c r="K115" s="732"/>
      <c r="L115" s="732"/>
      <c r="M115" s="719"/>
    </row>
    <row r="116" spans="1:13" s="51" customFormat="1" ht="30" customHeight="1" x14ac:dyDescent="0.3">
      <c r="A116" s="825">
        <v>1</v>
      </c>
      <c r="B116" s="885" t="str">
        <f>'ДШИ 3'!A31</f>
        <v>Медицинский осмотр</v>
      </c>
      <c r="C116" s="885"/>
      <c r="D116" s="885"/>
      <c r="E116" s="885"/>
      <c r="F116" s="825" t="str">
        <f>'ДШИ 3'!D31</f>
        <v>чел.</v>
      </c>
      <c r="G116" s="908">
        <f>'ДШИ 3'!C31</f>
        <v>0.06</v>
      </c>
      <c r="H116" s="908"/>
      <c r="I116" s="825" t="s">
        <v>163</v>
      </c>
      <c r="J116" s="732"/>
      <c r="K116" s="732"/>
      <c r="L116" s="732"/>
      <c r="M116" s="719"/>
    </row>
    <row r="117" spans="1:13" s="51" customFormat="1" ht="82.5" customHeight="1" x14ac:dyDescent="0.3">
      <c r="A117" s="825">
        <v>2</v>
      </c>
      <c r="B117" s="885" t="str">
        <f>'ДШИ 3'!A32</f>
        <v>Производственный контроль, аккарицидная обработка, дератизация, дезинфекция и пр. санитарно-гигиенические меропориятия</v>
      </c>
      <c r="C117" s="885"/>
      <c r="D117" s="885"/>
      <c r="E117" s="885"/>
      <c r="F117" s="825" t="str">
        <f>'ДШИ 3'!D32</f>
        <v>договор</v>
      </c>
      <c r="G117" s="908">
        <f>'ДШИ 3'!C32</f>
        <v>5.4945054945054949E-3</v>
      </c>
      <c r="H117" s="908"/>
      <c r="I117" s="825" t="s">
        <v>163</v>
      </c>
      <c r="J117" s="732"/>
      <c r="K117" s="732"/>
      <c r="L117" s="732"/>
      <c r="M117" s="719"/>
    </row>
    <row r="118" spans="1:13" s="51" customFormat="1" ht="64.5" customHeight="1" x14ac:dyDescent="0.3">
      <c r="A118" s="825">
        <v>3</v>
      </c>
      <c r="B118" s="885" t="str">
        <f>'ДШИ 3'!A33</f>
        <v>Обучение персонала (электро, тепло, газовое хозяйство, пожарная безопасность, охрана труда и др.)</v>
      </c>
      <c r="C118" s="885"/>
      <c r="D118" s="885"/>
      <c r="E118" s="885"/>
      <c r="F118" s="825" t="str">
        <f>'ДШИ 3'!D33</f>
        <v>чел.</v>
      </c>
      <c r="G118" s="908">
        <f>'ДШИ 3'!C33</f>
        <v>5.0000000000000001E-3</v>
      </c>
      <c r="H118" s="908"/>
      <c r="I118" s="825" t="s">
        <v>163</v>
      </c>
      <c r="J118" s="732"/>
      <c r="K118" s="732"/>
      <c r="L118" s="732"/>
      <c r="M118" s="719"/>
    </row>
    <row r="119" spans="1:13" s="51" customFormat="1" ht="38.25" customHeight="1" x14ac:dyDescent="0.3">
      <c r="A119" s="825">
        <v>4</v>
      </c>
      <c r="B119" s="885" t="str">
        <f>'ДШИ 3'!A34</f>
        <v>Обслуживание программных комплексов</v>
      </c>
      <c r="C119" s="885"/>
      <c r="D119" s="885"/>
      <c r="E119" s="885"/>
      <c r="F119" s="825" t="str">
        <f>'ДШИ 3'!D34</f>
        <v>договор</v>
      </c>
      <c r="G119" s="908">
        <f>'ДШИ 3'!C34</f>
        <v>2.7472527472527472E-2</v>
      </c>
      <c r="H119" s="908"/>
      <c r="I119" s="825" t="s">
        <v>163</v>
      </c>
      <c r="J119" s="732"/>
      <c r="K119" s="732"/>
      <c r="L119" s="732"/>
      <c r="M119" s="719"/>
    </row>
    <row r="120" spans="1:13" s="51" customFormat="1" ht="39.75" customHeight="1" x14ac:dyDescent="0.3">
      <c r="A120" s="825">
        <v>5</v>
      </c>
      <c r="B120" s="885" t="str">
        <f>'ДШИ 3'!A35</f>
        <v>Специальная оценка условий труда</v>
      </c>
      <c r="C120" s="885"/>
      <c r="D120" s="885"/>
      <c r="E120" s="885"/>
      <c r="F120" s="825" t="str">
        <f>'ДШИ 3'!D35</f>
        <v>договор</v>
      </c>
      <c r="G120" s="908">
        <f>'ДШИ 3'!C35</f>
        <v>5.4945054945054949E-3</v>
      </c>
      <c r="H120" s="908"/>
      <c r="I120" s="825" t="s">
        <v>163</v>
      </c>
      <c r="J120" s="732"/>
      <c r="K120" s="732"/>
      <c r="L120" s="732"/>
      <c r="M120" s="719"/>
    </row>
    <row r="121" spans="1:13" s="51" customFormat="1" ht="40.5" hidden="1" customHeight="1" x14ac:dyDescent="0.3">
      <c r="A121" s="825">
        <v>6</v>
      </c>
      <c r="B121" s="885" t="str">
        <f>'ДШИ 3'!A36</f>
        <v>Страховое особо опасных объектов</v>
      </c>
      <c r="C121" s="885"/>
      <c r="D121" s="885"/>
      <c r="E121" s="885"/>
      <c r="F121" s="825" t="str">
        <f>'ДШИ 3'!D36</f>
        <v>договор</v>
      </c>
      <c r="G121" s="908">
        <f>'ДШИ 3'!C36</f>
        <v>0</v>
      </c>
      <c r="H121" s="908"/>
      <c r="I121" s="825"/>
      <c r="J121" s="732"/>
      <c r="K121" s="732"/>
      <c r="L121" s="732"/>
      <c r="M121" s="719"/>
    </row>
    <row r="122" spans="1:13" s="51" customFormat="1" ht="46.5" customHeight="1" x14ac:dyDescent="0.3">
      <c r="A122" s="825">
        <v>6</v>
      </c>
      <c r="B122" s="885" t="str">
        <f>'ДШИ 3'!A37</f>
        <v>Проверка и ремонт измерительных приборов</v>
      </c>
      <c r="C122" s="885"/>
      <c r="D122" s="885"/>
      <c r="E122" s="885"/>
      <c r="F122" s="825" t="str">
        <f>'ДШИ 3'!D37</f>
        <v>договор</v>
      </c>
      <c r="G122" s="908">
        <f>'ДШИ 3'!C37</f>
        <v>5.4945054945054949E-3</v>
      </c>
      <c r="H122" s="908"/>
      <c r="I122" s="825" t="s">
        <v>163</v>
      </c>
      <c r="J122" s="732"/>
      <c r="K122" s="732"/>
      <c r="L122" s="732"/>
      <c r="M122" s="719"/>
    </row>
    <row r="123" spans="1:13" s="51" customFormat="1" x14ac:dyDescent="0.3">
      <c r="A123" s="732"/>
      <c r="B123" s="732"/>
      <c r="C123" s="732"/>
      <c r="D123" s="732"/>
      <c r="E123" s="732"/>
      <c r="F123" s="732"/>
      <c r="G123" s="732"/>
      <c r="H123" s="732"/>
      <c r="I123" s="732"/>
      <c r="J123" s="732"/>
      <c r="K123" s="732"/>
      <c r="L123" s="732"/>
      <c r="M123" s="719"/>
    </row>
    <row r="124" spans="1:13" s="51" customFormat="1" x14ac:dyDescent="0.3">
      <c r="A124" s="732"/>
      <c r="B124" s="732"/>
      <c r="C124" s="732"/>
      <c r="D124" s="732"/>
      <c r="E124" s="732"/>
      <c r="F124" s="732"/>
      <c r="G124" s="732"/>
      <c r="H124" s="732"/>
      <c r="I124" s="732"/>
      <c r="J124" s="732"/>
      <c r="K124" s="732"/>
      <c r="L124" s="732"/>
      <c r="M124" s="719"/>
    </row>
    <row r="125" spans="1:13" s="51" customFormat="1" x14ac:dyDescent="0.3">
      <c r="A125" s="901" t="s">
        <v>4</v>
      </c>
      <c r="B125" s="901"/>
      <c r="C125" s="901"/>
      <c r="D125" s="901"/>
      <c r="E125" s="901"/>
      <c r="F125" s="901"/>
      <c r="G125" s="901"/>
      <c r="H125" s="901"/>
      <c r="I125" s="901"/>
      <c r="J125" s="732"/>
      <c r="K125" s="732"/>
      <c r="L125" s="732"/>
      <c r="M125" s="719"/>
    </row>
    <row r="126" spans="1:13" s="51" customFormat="1" x14ac:dyDescent="0.3">
      <c r="A126" s="901" t="s">
        <v>5</v>
      </c>
      <c r="B126" s="901"/>
      <c r="C126" s="901"/>
      <c r="D126" s="901"/>
      <c r="E126" s="901"/>
      <c r="F126" s="901"/>
      <c r="G126" s="901"/>
      <c r="H126" s="901"/>
      <c r="I126" s="901"/>
      <c r="J126" s="732"/>
      <c r="K126" s="732"/>
      <c r="L126" s="732"/>
      <c r="M126" s="719"/>
    </row>
    <row r="127" spans="1:13" s="51" customFormat="1" x14ac:dyDescent="0.3">
      <c r="A127" s="901" t="s">
        <v>6</v>
      </c>
      <c r="B127" s="901"/>
      <c r="C127" s="901"/>
      <c r="D127" s="901"/>
      <c r="E127" s="901"/>
      <c r="F127" s="901"/>
      <c r="G127" s="901"/>
      <c r="H127" s="901"/>
      <c r="I127" s="901"/>
      <c r="J127" s="732"/>
      <c r="K127" s="732"/>
      <c r="L127" s="732"/>
      <c r="M127" s="719"/>
    </row>
    <row r="128" spans="1:13" s="51" customFormat="1" x14ac:dyDescent="0.3">
      <c r="A128" s="910" t="s">
        <v>39</v>
      </c>
      <c r="B128" s="901"/>
      <c r="C128" s="901"/>
      <c r="D128" s="901"/>
      <c r="E128" s="901"/>
      <c r="F128" s="901"/>
      <c r="G128" s="901"/>
      <c r="H128" s="901"/>
      <c r="I128" s="901"/>
      <c r="J128" s="732"/>
      <c r="K128" s="732"/>
      <c r="L128" s="732"/>
      <c r="M128" s="719"/>
    </row>
    <row r="129" spans="1:18" s="51" customFormat="1" x14ac:dyDescent="0.3">
      <c r="A129" s="903" t="s">
        <v>223</v>
      </c>
      <c r="B129" s="903"/>
      <c r="C129" s="903"/>
      <c r="D129" s="903"/>
      <c r="E129" s="903"/>
      <c r="F129" s="903"/>
      <c r="G129" s="903"/>
      <c r="H129" s="903"/>
      <c r="I129" s="903"/>
      <c r="J129" s="732"/>
      <c r="K129" s="732"/>
      <c r="L129" s="732"/>
      <c r="M129" s="719"/>
    </row>
    <row r="130" spans="1:18" s="51" customFormat="1" x14ac:dyDescent="0.3">
      <c r="A130" s="905" t="s">
        <v>120</v>
      </c>
      <c r="B130" s="905"/>
      <c r="C130" s="905"/>
      <c r="D130" s="905"/>
      <c r="E130" s="905"/>
      <c r="F130" s="905"/>
      <c r="G130" s="905"/>
      <c r="H130" s="905"/>
      <c r="I130" s="905"/>
      <c r="J130" s="732"/>
      <c r="K130" s="904" t="s">
        <v>119</v>
      </c>
      <c r="L130" s="904"/>
      <c r="M130" s="904"/>
    </row>
    <row r="131" spans="1:18" s="51" customFormat="1" x14ac:dyDescent="0.3">
      <c r="A131" s="719"/>
      <c r="B131" s="719"/>
      <c r="C131" s="719"/>
      <c r="D131" s="719"/>
      <c r="E131" s="719"/>
      <c r="F131" s="719"/>
      <c r="G131" s="719"/>
      <c r="H131" s="719"/>
      <c r="I131" s="719"/>
      <c r="J131" s="732"/>
      <c r="K131" s="732"/>
      <c r="L131" s="732"/>
      <c r="M131" s="719"/>
    </row>
    <row r="132" spans="1:18" s="51" customFormat="1" ht="75" x14ac:dyDescent="0.3">
      <c r="A132" s="720" t="s">
        <v>9</v>
      </c>
      <c r="B132" s="883" t="s">
        <v>10</v>
      </c>
      <c r="C132" s="883"/>
      <c r="D132" s="883"/>
      <c r="E132" s="883"/>
      <c r="F132" s="826" t="s">
        <v>11</v>
      </c>
      <c r="G132" s="883" t="s">
        <v>12</v>
      </c>
      <c r="H132" s="883"/>
      <c r="I132" s="826" t="s">
        <v>13</v>
      </c>
      <c r="J132" s="732"/>
      <c r="K132" s="732"/>
      <c r="L132" s="732"/>
      <c r="M132" s="719"/>
    </row>
    <row r="133" spans="1:18" s="51" customFormat="1" x14ac:dyDescent="0.3">
      <c r="A133" s="825">
        <v>1</v>
      </c>
      <c r="B133" s="884">
        <v>2</v>
      </c>
      <c r="C133" s="884"/>
      <c r="D133" s="884"/>
      <c r="E133" s="884"/>
      <c r="F133" s="825">
        <v>3</v>
      </c>
      <c r="G133" s="884">
        <v>4</v>
      </c>
      <c r="H133" s="884"/>
      <c r="I133" s="825">
        <v>5</v>
      </c>
      <c r="J133" s="732"/>
      <c r="K133" s="732"/>
      <c r="L133" s="732"/>
      <c r="M133" s="719"/>
    </row>
    <row r="134" spans="1:18" s="51" customFormat="1" x14ac:dyDescent="0.3">
      <c r="A134" s="900" t="s">
        <v>18</v>
      </c>
      <c r="B134" s="900"/>
      <c r="C134" s="900"/>
      <c r="D134" s="900"/>
      <c r="E134" s="900"/>
      <c r="F134" s="900"/>
      <c r="G134" s="900"/>
      <c r="H134" s="900"/>
      <c r="I134" s="900"/>
      <c r="J134" s="732"/>
      <c r="K134" s="732"/>
      <c r="L134" s="732"/>
      <c r="M134" s="719"/>
    </row>
    <row r="135" spans="1:18" s="51" customFormat="1" x14ac:dyDescent="0.3">
      <c r="A135" s="895" t="s">
        <v>14</v>
      </c>
      <c r="B135" s="895"/>
      <c r="C135" s="895"/>
      <c r="D135" s="895"/>
      <c r="E135" s="895"/>
      <c r="F135" s="895"/>
      <c r="G135" s="895"/>
      <c r="H135" s="895"/>
      <c r="I135" s="895"/>
      <c r="J135" s="732"/>
      <c r="K135" s="732"/>
      <c r="L135" s="732"/>
      <c r="M135" s="719"/>
    </row>
    <row r="136" spans="1:18" s="51" customFormat="1" x14ac:dyDescent="0.3">
      <c r="A136" s="825">
        <v>1</v>
      </c>
      <c r="B136" s="884" t="str">
        <f>ДШИ!B5</f>
        <v xml:space="preserve">преподаватель </v>
      </c>
      <c r="C136" s="884"/>
      <c r="D136" s="884"/>
      <c r="E136" s="884"/>
      <c r="F136" s="825" t="s">
        <v>162</v>
      </c>
      <c r="G136" s="883">
        <f>ДШИ!K5</f>
        <v>38.22</v>
      </c>
      <c r="H136" s="883"/>
      <c r="I136" s="825" t="s">
        <v>163</v>
      </c>
      <c r="J136" s="732"/>
      <c r="K136" s="732"/>
      <c r="L136" s="732"/>
      <c r="M136" s="725"/>
      <c r="N136" s="69"/>
      <c r="O136" s="69"/>
      <c r="P136" s="69"/>
      <c r="Q136" s="69"/>
      <c r="R136" s="69"/>
    </row>
    <row r="137" spans="1:18" s="51" customFormat="1" x14ac:dyDescent="0.3">
      <c r="A137" s="825"/>
      <c r="B137" s="884"/>
      <c r="C137" s="884"/>
      <c r="D137" s="884"/>
      <c r="E137" s="884"/>
      <c r="F137" s="825"/>
      <c r="G137" s="884"/>
      <c r="H137" s="884"/>
      <c r="I137" s="825"/>
      <c r="J137" s="732"/>
      <c r="K137" s="732"/>
      <c r="L137" s="732"/>
      <c r="M137" s="725"/>
      <c r="N137" s="69"/>
      <c r="O137" s="69"/>
      <c r="P137" s="69"/>
      <c r="Q137" s="69"/>
      <c r="R137" s="69"/>
    </row>
    <row r="138" spans="1:18" s="51" customFormat="1" x14ac:dyDescent="0.3">
      <c r="A138" s="895" t="s">
        <v>15</v>
      </c>
      <c r="B138" s="895"/>
      <c r="C138" s="895"/>
      <c r="D138" s="895"/>
      <c r="E138" s="895"/>
      <c r="F138" s="895"/>
      <c r="G138" s="895"/>
      <c r="H138" s="895"/>
      <c r="I138" s="895"/>
      <c r="J138" s="732"/>
      <c r="K138" s="732"/>
      <c r="L138" s="732"/>
      <c r="M138" s="725"/>
      <c r="N138" s="69"/>
      <c r="O138" s="69"/>
      <c r="P138" s="69"/>
      <c r="Q138" s="69"/>
      <c r="R138" s="69"/>
    </row>
    <row r="139" spans="1:18" s="51" customFormat="1" x14ac:dyDescent="0.3">
      <c r="A139" s="825">
        <v>1</v>
      </c>
      <c r="B139" s="885" t="str">
        <f>'ДШИ 2'!A4</f>
        <v>учебники</v>
      </c>
      <c r="C139" s="885"/>
      <c r="D139" s="885"/>
      <c r="E139" s="885"/>
      <c r="F139" s="825" t="str">
        <f>'ДШИ 2'!L4</f>
        <v>шт.</v>
      </c>
      <c r="G139" s="883">
        <f>'ДШИ 2'!H4</f>
        <v>0.06</v>
      </c>
      <c r="H139" s="883"/>
      <c r="I139" s="825" t="s">
        <v>163</v>
      </c>
      <c r="J139" s="732"/>
      <c r="K139" s="732"/>
      <c r="L139" s="732"/>
      <c r="M139" s="725"/>
      <c r="N139" s="69"/>
      <c r="O139" s="69"/>
      <c r="P139" s="69"/>
      <c r="Q139" s="69"/>
      <c r="R139" s="69"/>
    </row>
    <row r="140" spans="1:18" s="51" customFormat="1" x14ac:dyDescent="0.3">
      <c r="A140" s="825">
        <v>2</v>
      </c>
      <c r="B140" s="885" t="str">
        <f>'ДШИ 2'!A5</f>
        <v>учебные таблицы</v>
      </c>
      <c r="C140" s="885"/>
      <c r="D140" s="885"/>
      <c r="E140" s="885"/>
      <c r="F140" s="825" t="str">
        <f>'ДШИ 2'!L5</f>
        <v>шт.</v>
      </c>
      <c r="G140" s="908">
        <f>'ДШИ 2'!H5</f>
        <v>4.0000000000000001E-3</v>
      </c>
      <c r="H140" s="908"/>
      <c r="I140" s="825" t="s">
        <v>163</v>
      </c>
      <c r="J140" s="732"/>
      <c r="K140" s="732"/>
      <c r="L140" s="732"/>
      <c r="M140" s="725"/>
      <c r="N140" s="69"/>
      <c r="O140" s="69"/>
      <c r="P140" s="69"/>
      <c r="Q140" s="69"/>
      <c r="R140" s="69"/>
    </row>
    <row r="141" spans="1:18" s="51" customFormat="1" x14ac:dyDescent="0.3">
      <c r="A141" s="825">
        <v>3</v>
      </c>
      <c r="B141" s="885" t="str">
        <f>'ДШИ 2'!A6</f>
        <v>фоно и видеотека</v>
      </c>
      <c r="C141" s="885"/>
      <c r="D141" s="885"/>
      <c r="E141" s="885"/>
      <c r="F141" s="825" t="str">
        <f>'ДШИ 2'!L6</f>
        <v>шт.</v>
      </c>
      <c r="G141" s="908">
        <f>'ДШИ 2'!H6</f>
        <v>5.0000000000000001E-3</v>
      </c>
      <c r="H141" s="908"/>
      <c r="I141" s="825" t="s">
        <v>163</v>
      </c>
      <c r="J141" s="732"/>
      <c r="K141" s="732"/>
      <c r="L141" s="732"/>
      <c r="M141" s="725"/>
      <c r="N141" s="69"/>
      <c r="O141" s="69"/>
      <c r="P141" s="69"/>
      <c r="Q141" s="69"/>
      <c r="R141" s="69"/>
    </row>
    <row r="142" spans="1:18" s="51" customFormat="1" x14ac:dyDescent="0.3">
      <c r="A142" s="825">
        <v>4</v>
      </c>
      <c r="B142" s="885" t="str">
        <f>'ДШИ 2'!A7</f>
        <v>методическая и иная литература</v>
      </c>
      <c r="C142" s="885"/>
      <c r="D142" s="885"/>
      <c r="E142" s="885"/>
      <c r="F142" s="825" t="str">
        <f>'ДШИ 2'!L7</f>
        <v>шт.</v>
      </c>
      <c r="G142" s="908">
        <f>'ДШИ 2'!H7</f>
        <v>1E-3</v>
      </c>
      <c r="H142" s="908"/>
      <c r="I142" s="825" t="s">
        <v>163</v>
      </c>
      <c r="J142" s="732"/>
      <c r="K142" s="732"/>
      <c r="L142" s="732"/>
      <c r="M142" s="725"/>
      <c r="N142" s="69"/>
      <c r="O142" s="69"/>
      <c r="P142" s="69"/>
      <c r="Q142" s="69"/>
      <c r="R142" s="69"/>
    </row>
    <row r="143" spans="1:18" s="51" customFormat="1" x14ac:dyDescent="0.3">
      <c r="A143" s="825">
        <v>5</v>
      </c>
      <c r="B143" s="885" t="str">
        <f>'ДШИ 2'!A8</f>
        <v>нотная литература</v>
      </c>
      <c r="C143" s="885"/>
      <c r="D143" s="885"/>
      <c r="E143" s="885"/>
      <c r="F143" s="825" t="str">
        <f>'ДШИ 2'!L8</f>
        <v>шт.</v>
      </c>
      <c r="G143" s="908">
        <f>'ДШИ 2'!H8</f>
        <v>1.7000000000000001E-2</v>
      </c>
      <c r="H143" s="908"/>
      <c r="I143" s="825" t="s">
        <v>163</v>
      </c>
      <c r="J143" s="732"/>
      <c r="K143" s="732"/>
      <c r="L143" s="732"/>
      <c r="M143" s="725"/>
      <c r="N143" s="69"/>
      <c r="O143" s="69"/>
      <c r="P143" s="69"/>
      <c r="Q143" s="69"/>
      <c r="R143" s="69"/>
    </row>
    <row r="144" spans="1:18" s="51" customFormat="1" x14ac:dyDescent="0.3">
      <c r="A144" s="825">
        <v>6</v>
      </c>
      <c r="B144" s="885" t="str">
        <f>'ДШИ 2'!A9</f>
        <v>трости для духовых инструментов</v>
      </c>
      <c r="C144" s="885"/>
      <c r="D144" s="885"/>
      <c r="E144" s="885"/>
      <c r="F144" s="825" t="str">
        <f>'ДШИ 2'!L9</f>
        <v>шт.</v>
      </c>
      <c r="G144" s="883">
        <f>'ДШИ 2'!H9</f>
        <v>0.12</v>
      </c>
      <c r="H144" s="883"/>
      <c r="I144" s="825" t="s">
        <v>163</v>
      </c>
      <c r="J144" s="732"/>
      <c r="K144" s="732"/>
      <c r="L144" s="732"/>
      <c r="M144" s="725"/>
      <c r="N144" s="69"/>
      <c r="O144" s="69"/>
      <c r="P144" s="69"/>
      <c r="Q144" s="69"/>
      <c r="R144" s="69"/>
    </row>
    <row r="145" spans="1:18" s="51" customFormat="1" x14ac:dyDescent="0.3">
      <c r="A145" s="825">
        <v>7</v>
      </c>
      <c r="B145" s="885" t="str">
        <f>'ДШИ 2'!A10</f>
        <v>струны для народных инструментов</v>
      </c>
      <c r="C145" s="885"/>
      <c r="D145" s="885"/>
      <c r="E145" s="885"/>
      <c r="F145" s="825" t="str">
        <f>'ДШИ 2'!L10</f>
        <v>шт.</v>
      </c>
      <c r="G145" s="883">
        <f>'ДШИ 2'!H10</f>
        <v>0.15</v>
      </c>
      <c r="H145" s="883"/>
      <c r="I145" s="825" t="s">
        <v>163</v>
      </c>
      <c r="J145" s="732"/>
      <c r="K145" s="732"/>
      <c r="L145" s="732"/>
      <c r="M145" s="725"/>
      <c r="N145" s="69"/>
      <c r="O145" s="69"/>
      <c r="P145" s="69"/>
      <c r="Q145" s="69"/>
      <c r="R145" s="69"/>
    </row>
    <row r="146" spans="1:18" s="51" customFormat="1" x14ac:dyDescent="0.3">
      <c r="A146" s="825">
        <v>8</v>
      </c>
      <c r="B146" s="885" t="str">
        <f>'ДШИ 2'!A11</f>
        <v>обувь хореографическая</v>
      </c>
      <c r="C146" s="885"/>
      <c r="D146" s="885"/>
      <c r="E146" s="885"/>
      <c r="F146" s="825" t="str">
        <f>'ДШИ 2'!L11</f>
        <v>шт.</v>
      </c>
      <c r="G146" s="883">
        <f>'ДШИ 2'!H11</f>
        <v>0.02</v>
      </c>
      <c r="H146" s="883"/>
      <c r="I146" s="825" t="s">
        <v>163</v>
      </c>
      <c r="J146" s="732"/>
      <c r="K146" s="732"/>
      <c r="L146" s="732"/>
      <c r="M146" s="725"/>
      <c r="N146" s="69"/>
      <c r="O146" s="69"/>
      <c r="P146" s="69"/>
      <c r="Q146" s="69"/>
      <c r="R146" s="69"/>
    </row>
    <row r="147" spans="1:18" s="51" customFormat="1" ht="70.5" customHeight="1" x14ac:dyDescent="0.3">
      <c r="A147" s="895" t="s">
        <v>16</v>
      </c>
      <c r="B147" s="895"/>
      <c r="C147" s="895"/>
      <c r="D147" s="895"/>
      <c r="E147" s="895"/>
      <c r="F147" s="895"/>
      <c r="G147" s="895"/>
      <c r="H147" s="895"/>
      <c r="I147" s="895"/>
      <c r="J147" s="732"/>
      <c r="K147" s="732"/>
      <c r="L147" s="732"/>
      <c r="M147" s="725"/>
      <c r="N147" s="69"/>
      <c r="O147" s="69"/>
      <c r="P147" s="69"/>
      <c r="Q147" s="69"/>
      <c r="R147" s="69"/>
    </row>
    <row r="148" spans="1:18" s="51" customFormat="1" x14ac:dyDescent="0.3">
      <c r="A148" s="825"/>
      <c r="B148" s="884"/>
      <c r="C148" s="884"/>
      <c r="D148" s="884"/>
      <c r="E148" s="884"/>
      <c r="F148" s="825"/>
      <c r="G148" s="884"/>
      <c r="H148" s="884"/>
      <c r="I148" s="825"/>
      <c r="J148" s="732"/>
      <c r="K148" s="732"/>
      <c r="L148" s="732"/>
      <c r="M148" s="725"/>
      <c r="N148" s="69"/>
      <c r="O148" s="69"/>
      <c r="P148" s="69"/>
      <c r="Q148" s="69"/>
      <c r="R148" s="69"/>
    </row>
    <row r="149" spans="1:18" s="51" customFormat="1" x14ac:dyDescent="0.3">
      <c r="A149" s="825"/>
      <c r="B149" s="884"/>
      <c r="C149" s="884"/>
      <c r="D149" s="884"/>
      <c r="E149" s="884"/>
      <c r="F149" s="825"/>
      <c r="G149" s="884"/>
      <c r="H149" s="884"/>
      <c r="I149" s="825"/>
      <c r="J149" s="732"/>
      <c r="K149" s="732"/>
      <c r="L149" s="732"/>
      <c r="M149" s="725"/>
      <c r="N149" s="69"/>
      <c r="O149" s="69"/>
      <c r="P149" s="69"/>
      <c r="Q149" s="69"/>
      <c r="R149" s="69"/>
    </row>
    <row r="150" spans="1:18" s="51" customFormat="1" x14ac:dyDescent="0.3">
      <c r="A150" s="899" t="s">
        <v>17</v>
      </c>
      <c r="B150" s="883"/>
      <c r="C150" s="883"/>
      <c r="D150" s="883"/>
      <c r="E150" s="883"/>
      <c r="F150" s="883"/>
      <c r="G150" s="883"/>
      <c r="H150" s="883"/>
      <c r="I150" s="883"/>
      <c r="J150" s="732"/>
      <c r="K150" s="732"/>
      <c r="L150" s="732"/>
      <c r="M150" s="725"/>
      <c r="N150" s="69"/>
      <c r="O150" s="69"/>
      <c r="P150" s="69"/>
      <c r="Q150" s="69"/>
      <c r="R150" s="69"/>
    </row>
    <row r="151" spans="1:18" s="51" customFormat="1" ht="48" customHeight="1" x14ac:dyDescent="0.3">
      <c r="A151" s="896" t="s">
        <v>19</v>
      </c>
      <c r="B151" s="897"/>
      <c r="C151" s="897"/>
      <c r="D151" s="897"/>
      <c r="E151" s="897"/>
      <c r="F151" s="897"/>
      <c r="G151" s="897"/>
      <c r="H151" s="897"/>
      <c r="I151" s="898"/>
      <c r="J151" s="732"/>
      <c r="K151" s="732"/>
      <c r="L151" s="732"/>
      <c r="M151" s="725"/>
      <c r="N151" s="69"/>
      <c r="O151" s="69"/>
      <c r="P151" s="69"/>
      <c r="Q151" s="69"/>
      <c r="R151" s="69"/>
    </row>
    <row r="152" spans="1:18" s="51" customFormat="1" ht="34.5" customHeight="1" x14ac:dyDescent="0.3">
      <c r="A152" s="825">
        <v>1</v>
      </c>
      <c r="B152" s="885" t="str">
        <f>'ДШИ 3'!A27</f>
        <v>Административно управленческий персонал</v>
      </c>
      <c r="C152" s="885"/>
      <c r="D152" s="885"/>
      <c r="E152" s="885"/>
      <c r="F152" s="825" t="s">
        <v>162</v>
      </c>
      <c r="G152" s="883">
        <f>'ДШИ 3'!H27</f>
        <v>9.5</v>
      </c>
      <c r="H152" s="883"/>
      <c r="I152" s="825" t="s">
        <v>163</v>
      </c>
      <c r="J152" s="732"/>
      <c r="K152" s="732"/>
      <c r="L152" s="732"/>
      <c r="M152" s="725"/>
      <c r="N152" s="69"/>
      <c r="O152" s="69"/>
      <c r="P152" s="69"/>
      <c r="Q152" s="69"/>
      <c r="R152" s="69"/>
    </row>
    <row r="153" spans="1:18" s="51" customFormat="1" ht="35.25" customHeight="1" x14ac:dyDescent="0.3">
      <c r="A153" s="825">
        <v>2</v>
      </c>
      <c r="B153" s="885" t="str">
        <f>'ДШИ 3'!A28</f>
        <v>Прочий обслуживающий персонал</v>
      </c>
      <c r="C153" s="885"/>
      <c r="D153" s="885"/>
      <c r="E153" s="885"/>
      <c r="F153" s="825" t="s">
        <v>162</v>
      </c>
      <c r="G153" s="883">
        <f>'ДШИ 3'!H28</f>
        <v>66.53</v>
      </c>
      <c r="H153" s="883"/>
      <c r="I153" s="825" t="s">
        <v>163</v>
      </c>
      <c r="J153" s="732"/>
      <c r="K153" s="732"/>
      <c r="L153" s="732"/>
      <c r="M153" s="725"/>
      <c r="N153" s="69"/>
      <c r="O153" s="69"/>
      <c r="P153" s="69"/>
      <c r="Q153" s="69"/>
      <c r="R153" s="69"/>
    </row>
    <row r="154" spans="1:18" s="51" customFormat="1" x14ac:dyDescent="0.3">
      <c r="A154" s="825"/>
      <c r="B154" s="884"/>
      <c r="C154" s="884"/>
      <c r="D154" s="884"/>
      <c r="E154" s="884"/>
      <c r="F154" s="825"/>
      <c r="G154" s="884"/>
      <c r="H154" s="884"/>
      <c r="I154" s="825"/>
      <c r="J154" s="732"/>
      <c r="K154" s="732"/>
      <c r="L154" s="732"/>
      <c r="M154" s="719"/>
    </row>
    <row r="155" spans="1:18" s="51" customFormat="1" x14ac:dyDescent="0.3">
      <c r="A155" s="896" t="s">
        <v>20</v>
      </c>
      <c r="B155" s="897"/>
      <c r="C155" s="897"/>
      <c r="D155" s="897"/>
      <c r="E155" s="897"/>
      <c r="F155" s="897"/>
      <c r="G155" s="897"/>
      <c r="H155" s="897"/>
      <c r="I155" s="898"/>
      <c r="J155" s="732"/>
      <c r="K155" s="732"/>
      <c r="L155" s="732"/>
      <c r="M155" s="719"/>
    </row>
    <row r="156" spans="1:18" s="51" customFormat="1" ht="35.25" customHeight="1" x14ac:dyDescent="0.3">
      <c r="A156" s="825">
        <v>1</v>
      </c>
      <c r="B156" s="885" t="str">
        <f>'ДШИ 3'!A6</f>
        <v>оплата отопления и технологических нужд</v>
      </c>
      <c r="C156" s="885"/>
      <c r="D156" s="885"/>
      <c r="E156" s="885"/>
      <c r="F156" s="825" t="str">
        <f>'ДШИ 3'!I6</f>
        <v>Гкалл</v>
      </c>
      <c r="G156" s="883">
        <f>'ДШИ 3'!H6</f>
        <v>0.38047817552217739</v>
      </c>
      <c r="H156" s="883"/>
      <c r="I156" s="825" t="s">
        <v>163</v>
      </c>
      <c r="J156" s="732"/>
      <c r="K156" s="732"/>
      <c r="L156" s="732"/>
      <c r="M156" s="719"/>
    </row>
    <row r="157" spans="1:18" s="51" customFormat="1" ht="33.75" customHeight="1" x14ac:dyDescent="0.3">
      <c r="A157" s="825">
        <v>2</v>
      </c>
      <c r="B157" s="885" t="str">
        <f>'ДШИ 3'!A7</f>
        <v>оплата потребления электрической энергии</v>
      </c>
      <c r="C157" s="885"/>
      <c r="D157" s="885"/>
      <c r="E157" s="885"/>
      <c r="F157" s="825" t="str">
        <f>'ДШИ 3'!I7</f>
        <v>Кват/ч</v>
      </c>
      <c r="G157" s="908">
        <f>'ДШИ 3'!H7</f>
        <v>50.696257615317663</v>
      </c>
      <c r="H157" s="908"/>
      <c r="I157" s="825" t="s">
        <v>163</v>
      </c>
      <c r="J157" s="732"/>
      <c r="K157" s="732"/>
      <c r="L157" s="732"/>
      <c r="M157" s="719"/>
    </row>
    <row r="158" spans="1:18" s="51" customFormat="1" ht="30.75" customHeight="1" x14ac:dyDescent="0.3">
      <c r="A158" s="825">
        <v>3</v>
      </c>
      <c r="B158" s="885" t="str">
        <f>'ДШИ 3'!A8</f>
        <v>оплата водоснабжения и водоотведения</v>
      </c>
      <c r="C158" s="885"/>
      <c r="D158" s="885"/>
      <c r="E158" s="885"/>
      <c r="F158" s="825" t="str">
        <f>'ДШИ 3'!I8</f>
        <v>м3</v>
      </c>
      <c r="G158" s="883">
        <f>'ДШИ 3'!H8</f>
        <v>0.70964130387977431</v>
      </c>
      <c r="H158" s="883"/>
      <c r="I158" s="825" t="s">
        <v>163</v>
      </c>
      <c r="J158" s="732"/>
      <c r="K158" s="732"/>
      <c r="L158" s="732"/>
      <c r="M158" s="719"/>
    </row>
    <row r="159" spans="1:18" s="51" customFormat="1" x14ac:dyDescent="0.3">
      <c r="A159" s="825"/>
      <c r="B159" s="884"/>
      <c r="C159" s="884"/>
      <c r="D159" s="884"/>
      <c r="E159" s="884"/>
      <c r="F159" s="825"/>
      <c r="G159" s="884"/>
      <c r="H159" s="884"/>
      <c r="I159" s="825"/>
      <c r="J159" s="732"/>
      <c r="K159" s="732"/>
      <c r="L159" s="732"/>
      <c r="M159" s="719"/>
    </row>
    <row r="160" spans="1:18" s="51" customFormat="1" ht="41.25" customHeight="1" x14ac:dyDescent="0.3">
      <c r="A160" s="900" t="s">
        <v>21</v>
      </c>
      <c r="B160" s="895"/>
      <c r="C160" s="895"/>
      <c r="D160" s="895"/>
      <c r="E160" s="895"/>
      <c r="F160" s="895"/>
      <c r="G160" s="895"/>
      <c r="H160" s="895"/>
      <c r="I160" s="895"/>
      <c r="J160" s="732"/>
      <c r="K160" s="732"/>
      <c r="L160" s="732"/>
      <c r="M160" s="719"/>
    </row>
    <row r="161" spans="1:13" s="51" customFormat="1" ht="168.75" customHeight="1" x14ac:dyDescent="0.3">
      <c r="A161" s="825">
        <v>1</v>
      </c>
      <c r="B161" s="885" t="str">
        <f>'ДШИ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161" s="885"/>
      <c r="D161" s="885"/>
      <c r="E161" s="885"/>
      <c r="F161" s="825" t="str">
        <f>'ДШИ 3'!D11</f>
        <v>договор</v>
      </c>
      <c r="G161" s="911">
        <f>'нормативные 3'!G160:H160</f>
        <v>6.6666666666666671E-3</v>
      </c>
      <c r="H161" s="911"/>
      <c r="I161" s="825" t="s">
        <v>163</v>
      </c>
      <c r="J161" s="732"/>
      <c r="K161" s="732"/>
      <c r="L161" s="732"/>
      <c r="M161" s="719"/>
    </row>
    <row r="162" spans="1:13" s="51" customFormat="1" ht="93" customHeight="1" x14ac:dyDescent="0.3">
      <c r="A162" s="825">
        <v>3</v>
      </c>
      <c r="B162" s="885" t="str">
        <f>'ДШИ 3'!A13</f>
        <v>Техническое обслуживание и регламентно-профилактический ремонт, в том числе на подготовку отопительной системы к зимнему сезону</v>
      </c>
      <c r="C162" s="885"/>
      <c r="D162" s="885"/>
      <c r="E162" s="885"/>
      <c r="F162" s="825" t="str">
        <f>'ДШИ 3'!D13</f>
        <v>договор</v>
      </c>
      <c r="G162" s="911">
        <f>'нормативные 3'!G162:H162</f>
        <v>1.3333333333333334E-2</v>
      </c>
      <c r="H162" s="911"/>
      <c r="I162" s="825" t="s">
        <v>163</v>
      </c>
      <c r="J162" s="732"/>
      <c r="K162" s="732"/>
      <c r="L162" s="732"/>
      <c r="M162" s="719"/>
    </row>
    <row r="163" spans="1:13" s="51" customFormat="1" ht="93" customHeight="1" x14ac:dyDescent="0.3">
      <c r="A163" s="825">
        <v>4</v>
      </c>
      <c r="B163" s="885" t="str">
        <f>'ДШИ 3'!A14</f>
        <v>Техническое обслуживание и регламентно-профилактический ремонт электрооборудования</v>
      </c>
      <c r="C163" s="885"/>
      <c r="D163" s="885"/>
      <c r="E163" s="885"/>
      <c r="F163" s="825" t="str">
        <f>'ДШИ 3'!D14</f>
        <v>договор</v>
      </c>
      <c r="G163" s="911">
        <f>'нормативные 3'!G163:H163</f>
        <v>6.6666666666666671E-3</v>
      </c>
      <c r="H163" s="911"/>
      <c r="I163" s="825" t="s">
        <v>163</v>
      </c>
      <c r="J163" s="732"/>
      <c r="K163" s="732"/>
      <c r="L163" s="732"/>
      <c r="M163" s="719"/>
    </row>
    <row r="164" spans="1:13" s="51" customFormat="1" ht="56.25" customHeight="1" x14ac:dyDescent="0.3">
      <c r="A164" s="825">
        <v>5</v>
      </c>
      <c r="B164" s="885" t="str">
        <f>'ДШИ 3'!A15</f>
        <v>Вывоз твердых бытовых отходов, утилизация отходов</v>
      </c>
      <c r="C164" s="885"/>
      <c r="D164" s="885"/>
      <c r="E164" s="885"/>
      <c r="F164" s="825" t="str">
        <f>'ДШИ 3'!D15</f>
        <v>договор</v>
      </c>
      <c r="G164" s="911">
        <f>'нормативные 3'!G164:H164</f>
        <v>6.6666666666666671E-3</v>
      </c>
      <c r="H164" s="911"/>
      <c r="I164" s="825" t="s">
        <v>163</v>
      </c>
      <c r="J164" s="732"/>
      <c r="K164" s="732"/>
      <c r="L164" s="732"/>
      <c r="M164" s="719"/>
    </row>
    <row r="165" spans="1:13" s="51" customFormat="1" x14ac:dyDescent="0.3">
      <c r="A165" s="825"/>
      <c r="B165" s="884"/>
      <c r="C165" s="884"/>
      <c r="D165" s="884"/>
      <c r="E165" s="884"/>
      <c r="F165" s="825"/>
      <c r="G165" s="884"/>
      <c r="H165" s="884"/>
      <c r="I165" s="825"/>
      <c r="J165" s="732"/>
      <c r="K165" s="732"/>
      <c r="L165" s="732"/>
      <c r="M165" s="719"/>
    </row>
    <row r="166" spans="1:13" s="51" customFormat="1" x14ac:dyDescent="0.3">
      <c r="A166" s="825"/>
      <c r="B166" s="884"/>
      <c r="C166" s="884"/>
      <c r="D166" s="884"/>
      <c r="E166" s="884"/>
      <c r="F166" s="825"/>
      <c r="G166" s="884"/>
      <c r="H166" s="884"/>
      <c r="I166" s="825"/>
      <c r="J166" s="732"/>
      <c r="K166" s="732"/>
      <c r="L166" s="732"/>
      <c r="M166" s="719"/>
    </row>
    <row r="167" spans="1:13" s="51" customFormat="1" ht="29.25" customHeight="1" x14ac:dyDescent="0.3">
      <c r="A167" s="895" t="s">
        <v>22</v>
      </c>
      <c r="B167" s="895"/>
      <c r="C167" s="895"/>
      <c r="D167" s="895"/>
      <c r="E167" s="895"/>
      <c r="F167" s="895"/>
      <c r="G167" s="895"/>
      <c r="H167" s="895"/>
      <c r="I167" s="895"/>
      <c r="J167" s="732"/>
      <c r="K167" s="732"/>
      <c r="L167" s="732"/>
      <c r="M167" s="719"/>
    </row>
    <row r="168" spans="1:13" s="51" customFormat="1" x14ac:dyDescent="0.3">
      <c r="A168" s="825">
        <v>1</v>
      </c>
      <c r="B168" s="885" t="str">
        <f>'ДШИ 3'!A23</f>
        <v>интернет</v>
      </c>
      <c r="C168" s="885"/>
      <c r="D168" s="885"/>
      <c r="E168" s="885"/>
      <c r="F168" s="825" t="str">
        <f>'ДШИ 3'!D23</f>
        <v>Г</v>
      </c>
      <c r="G168" s="908">
        <f>'ДШИ 3'!H23</f>
        <v>4.2777777777777777</v>
      </c>
      <c r="H168" s="908"/>
      <c r="I168" s="825" t="s">
        <v>163</v>
      </c>
      <c r="J168" s="732"/>
      <c r="K168" s="732"/>
      <c r="L168" s="732"/>
      <c r="M168" s="719"/>
    </row>
    <row r="169" spans="1:13" s="51" customFormat="1" x14ac:dyDescent="0.3">
      <c r="A169" s="825">
        <v>2</v>
      </c>
      <c r="B169" s="885" t="str">
        <f>'ДШИ 3'!A24</f>
        <v>услуги связи</v>
      </c>
      <c r="C169" s="885"/>
      <c r="D169" s="885"/>
      <c r="E169" s="885"/>
      <c r="F169" s="825" t="str">
        <f>'ДШИ 3'!D24</f>
        <v>мин.</v>
      </c>
      <c r="G169" s="908">
        <f>'ДШИ 3'!H24</f>
        <v>94.611111111111114</v>
      </c>
      <c r="H169" s="908"/>
      <c r="I169" s="825" t="s">
        <v>163</v>
      </c>
      <c r="J169" s="732"/>
      <c r="K169" s="732"/>
      <c r="L169" s="732"/>
      <c r="M169" s="719"/>
    </row>
    <row r="170" spans="1:13" s="51" customFormat="1" x14ac:dyDescent="0.3">
      <c r="A170" s="825"/>
      <c r="B170" s="884"/>
      <c r="C170" s="884"/>
      <c r="D170" s="884"/>
      <c r="E170" s="884"/>
      <c r="F170" s="825"/>
      <c r="G170" s="884"/>
      <c r="H170" s="884"/>
      <c r="I170" s="825"/>
      <c r="J170" s="732"/>
      <c r="K170" s="732"/>
      <c r="L170" s="732"/>
      <c r="M170" s="719"/>
    </row>
    <row r="171" spans="1:13" s="51" customFormat="1" x14ac:dyDescent="0.3">
      <c r="A171" s="895" t="s">
        <v>23</v>
      </c>
      <c r="B171" s="895"/>
      <c r="C171" s="895"/>
      <c r="D171" s="895"/>
      <c r="E171" s="895"/>
      <c r="F171" s="895"/>
      <c r="G171" s="895"/>
      <c r="H171" s="895"/>
      <c r="I171" s="895"/>
      <c r="J171" s="732"/>
      <c r="K171" s="732"/>
      <c r="L171" s="732"/>
      <c r="M171" s="719"/>
    </row>
    <row r="172" spans="1:13" s="51" customFormat="1" ht="33" customHeight="1" x14ac:dyDescent="0.3">
      <c r="A172" s="825">
        <v>1</v>
      </c>
      <c r="B172" s="885" t="str">
        <f>'ДШИ 3'!A31</f>
        <v>Медицинский осмотр</v>
      </c>
      <c r="C172" s="885"/>
      <c r="D172" s="885"/>
      <c r="E172" s="885"/>
      <c r="F172" s="825" t="str">
        <f>'ДШИ 3'!I31</f>
        <v>чел.</v>
      </c>
      <c r="G172" s="883">
        <f>'ДШИ 3'!H31</f>
        <v>0.06</v>
      </c>
      <c r="H172" s="883"/>
      <c r="I172" s="825" t="s">
        <v>163</v>
      </c>
      <c r="J172" s="732"/>
      <c r="K172" s="732"/>
      <c r="L172" s="732"/>
      <c r="M172" s="719"/>
    </row>
    <row r="173" spans="1:13" s="51" customFormat="1" ht="105.75" customHeight="1" x14ac:dyDescent="0.3">
      <c r="A173" s="825">
        <v>2</v>
      </c>
      <c r="B173" s="885" t="str">
        <f>'ДШИ 3'!A32</f>
        <v>Производственный контроль, аккарицидная обработка, дератизация, дезинфекция и пр. санитарно-гигиенические меропориятия</v>
      </c>
      <c r="C173" s="885"/>
      <c r="D173" s="885"/>
      <c r="E173" s="885"/>
      <c r="F173" s="825" t="str">
        <f>'ДШИ 3'!I32</f>
        <v>договор</v>
      </c>
      <c r="G173" s="909">
        <f>'ДШИ 3'!H32</f>
        <v>6.6666666666666671E-3</v>
      </c>
      <c r="H173" s="909"/>
      <c r="I173" s="825" t="s">
        <v>163</v>
      </c>
      <c r="J173" s="732"/>
      <c r="K173" s="732"/>
      <c r="L173" s="732"/>
      <c r="M173" s="719"/>
    </row>
    <row r="174" spans="1:13" s="51" customFormat="1" ht="92.25" customHeight="1" x14ac:dyDescent="0.3">
      <c r="A174" s="825">
        <v>3</v>
      </c>
      <c r="B174" s="885" t="str">
        <f>'ДШИ 3'!A33</f>
        <v>Обучение персонала (электро, тепло, газовое хозяйство, пожарная безопасность, охрана труда и др.)</v>
      </c>
      <c r="C174" s="885"/>
      <c r="D174" s="885"/>
      <c r="E174" s="885"/>
      <c r="F174" s="825" t="str">
        <f>'ДШИ 3'!I33</f>
        <v>чел.</v>
      </c>
      <c r="G174" s="908">
        <f>'ДШИ 3'!H33</f>
        <v>5.0000000000000001E-3</v>
      </c>
      <c r="H174" s="908"/>
      <c r="I174" s="825" t="s">
        <v>163</v>
      </c>
      <c r="J174" s="732"/>
      <c r="K174" s="732"/>
      <c r="L174" s="732"/>
      <c r="M174" s="719"/>
    </row>
    <row r="175" spans="1:13" s="51" customFormat="1" ht="54.75" customHeight="1" x14ac:dyDescent="0.3">
      <c r="A175" s="825">
        <v>4</v>
      </c>
      <c r="B175" s="885" t="str">
        <f>'ДШИ 3'!A34</f>
        <v>Обслуживание программных комплексов</v>
      </c>
      <c r="C175" s="885"/>
      <c r="D175" s="885"/>
      <c r="E175" s="885"/>
      <c r="F175" s="825" t="str">
        <f>'ДШИ 3'!I34</f>
        <v>договор</v>
      </c>
      <c r="G175" s="909">
        <f>'нормативные 3'!G174:H174</f>
        <v>3.3333333333333333E-2</v>
      </c>
      <c r="H175" s="909"/>
      <c r="I175" s="825" t="s">
        <v>163</v>
      </c>
      <c r="J175" s="732"/>
      <c r="K175" s="732"/>
      <c r="L175" s="732"/>
      <c r="M175" s="719"/>
    </row>
    <row r="176" spans="1:13" s="51" customFormat="1" ht="43.5" customHeight="1" x14ac:dyDescent="0.3">
      <c r="A176" s="825">
        <v>5</v>
      </c>
      <c r="B176" s="885" t="str">
        <f>'ДШИ 3'!A35</f>
        <v>Специальная оценка условий труда</v>
      </c>
      <c r="C176" s="885"/>
      <c r="D176" s="885"/>
      <c r="E176" s="885"/>
      <c r="F176" s="825" t="str">
        <f>'ДШИ 3'!I37</f>
        <v>договор</v>
      </c>
      <c r="G176" s="909">
        <f>'нормативные 3'!G175:H175</f>
        <v>4.5045045045045045E-3</v>
      </c>
      <c r="H176" s="909"/>
      <c r="I176" s="825" t="s">
        <v>163</v>
      </c>
      <c r="J176" s="732"/>
      <c r="K176" s="732"/>
      <c r="L176" s="732"/>
      <c r="M176" s="719"/>
    </row>
    <row r="177" spans="1:13" s="51" customFormat="1" ht="35.25" customHeight="1" x14ac:dyDescent="0.3">
      <c r="A177" s="735">
        <v>6</v>
      </c>
      <c r="B177" s="885" t="str">
        <f>'ДШИ 3'!A37</f>
        <v>Проверка и ремонт измерительных приборов</v>
      </c>
      <c r="C177" s="885"/>
      <c r="D177" s="885"/>
      <c r="E177" s="885"/>
      <c r="F177" s="735" t="s">
        <v>82</v>
      </c>
      <c r="G177" s="909">
        <f>'нормативные 3'!G177:H177</f>
        <v>6.6666666666666671E-3</v>
      </c>
      <c r="H177" s="909"/>
      <c r="I177" s="735" t="s">
        <v>163</v>
      </c>
      <c r="J177" s="719"/>
      <c r="K177" s="719"/>
      <c r="L177" s="719"/>
      <c r="M177" s="719"/>
    </row>
    <row r="178" spans="1:13" s="51" customFormat="1" x14ac:dyDescent="0.3">
      <c r="A178" s="719"/>
      <c r="B178" s="719"/>
      <c r="C178" s="719"/>
      <c r="D178" s="719"/>
      <c r="E178" s="719"/>
      <c r="F178" s="719"/>
      <c r="G178" s="719"/>
      <c r="H178" s="719"/>
      <c r="I178" s="719"/>
      <c r="J178" s="719"/>
      <c r="K178" s="719"/>
      <c r="L178" s="719"/>
      <c r="M178" s="719"/>
    </row>
    <row r="179" spans="1:13" s="51" customFormat="1" x14ac:dyDescent="0.3">
      <c r="A179" s="719"/>
      <c r="B179" s="719"/>
      <c r="C179" s="719"/>
      <c r="D179" s="719"/>
      <c r="E179" s="719"/>
      <c r="F179" s="719"/>
      <c r="G179" s="719"/>
      <c r="H179" s="719"/>
      <c r="I179" s="719"/>
      <c r="J179" s="719"/>
      <c r="K179" s="719"/>
      <c r="L179" s="719"/>
      <c r="M179" s="719"/>
    </row>
    <row r="180" spans="1:13" s="51" customFormat="1" x14ac:dyDescent="0.3">
      <c r="A180" s="719"/>
      <c r="B180" s="719"/>
      <c r="C180" s="719"/>
      <c r="D180" s="719"/>
      <c r="E180" s="719"/>
      <c r="F180" s="719"/>
      <c r="G180" s="719"/>
      <c r="H180" s="719"/>
      <c r="I180" s="719"/>
      <c r="J180" s="719"/>
      <c r="K180" s="719"/>
      <c r="L180" s="719"/>
      <c r="M180" s="719"/>
    </row>
    <row r="181" spans="1:13" s="51" customFormat="1" x14ac:dyDescent="0.3">
      <c r="A181" s="901" t="s">
        <v>4</v>
      </c>
      <c r="B181" s="901"/>
      <c r="C181" s="901"/>
      <c r="D181" s="901"/>
      <c r="E181" s="901"/>
      <c r="F181" s="901"/>
      <c r="G181" s="901"/>
      <c r="H181" s="901"/>
      <c r="I181" s="901"/>
      <c r="J181" s="732"/>
      <c r="K181" s="732"/>
      <c r="L181" s="732"/>
      <c r="M181" s="719"/>
    </row>
    <row r="182" spans="1:13" s="51" customFormat="1" x14ac:dyDescent="0.3">
      <c r="A182" s="901" t="s">
        <v>5</v>
      </c>
      <c r="B182" s="901"/>
      <c r="C182" s="901"/>
      <c r="D182" s="901"/>
      <c r="E182" s="901"/>
      <c r="F182" s="901"/>
      <c r="G182" s="901"/>
      <c r="H182" s="901"/>
      <c r="I182" s="901"/>
      <c r="J182" s="732"/>
      <c r="K182" s="732"/>
      <c r="L182" s="732"/>
      <c r="M182" s="719"/>
    </row>
    <row r="183" spans="1:13" s="51" customFormat="1" x14ac:dyDescent="0.3">
      <c r="A183" s="901" t="s">
        <v>6</v>
      </c>
      <c r="B183" s="901"/>
      <c r="C183" s="901"/>
      <c r="D183" s="901"/>
      <c r="E183" s="901"/>
      <c r="F183" s="901"/>
      <c r="G183" s="901"/>
      <c r="H183" s="901"/>
      <c r="I183" s="901"/>
      <c r="J183" s="732"/>
      <c r="K183" s="732"/>
      <c r="L183" s="732"/>
      <c r="M183" s="719"/>
    </row>
    <row r="184" spans="1:13" s="51" customFormat="1" x14ac:dyDescent="0.3">
      <c r="A184" s="910" t="s">
        <v>281</v>
      </c>
      <c r="B184" s="901"/>
      <c r="C184" s="901"/>
      <c r="D184" s="901"/>
      <c r="E184" s="901"/>
      <c r="F184" s="901"/>
      <c r="G184" s="901"/>
      <c r="H184" s="901"/>
      <c r="I184" s="901"/>
      <c r="J184" s="732"/>
      <c r="K184" s="732"/>
      <c r="L184" s="732"/>
      <c r="M184" s="719"/>
    </row>
    <row r="185" spans="1:13" s="51" customFormat="1" x14ac:dyDescent="0.3">
      <c r="A185" s="903" t="s">
        <v>282</v>
      </c>
      <c r="B185" s="903"/>
      <c r="C185" s="903"/>
      <c r="D185" s="903"/>
      <c r="E185" s="903"/>
      <c r="F185" s="903"/>
      <c r="G185" s="903"/>
      <c r="H185" s="903"/>
      <c r="I185" s="903"/>
      <c r="J185" s="732"/>
      <c r="K185" s="732"/>
      <c r="L185" s="732"/>
      <c r="M185" s="719"/>
    </row>
    <row r="186" spans="1:13" s="51" customFormat="1" x14ac:dyDescent="0.3">
      <c r="A186" s="905" t="s">
        <v>294</v>
      </c>
      <c r="B186" s="905"/>
      <c r="C186" s="905"/>
      <c r="D186" s="905"/>
      <c r="E186" s="905"/>
      <c r="F186" s="905"/>
      <c r="G186" s="905"/>
      <c r="H186" s="905"/>
      <c r="I186" s="905"/>
      <c r="J186" s="732"/>
      <c r="K186" s="904" t="s">
        <v>122</v>
      </c>
      <c r="L186" s="904"/>
      <c r="M186" s="904"/>
    </row>
    <row r="187" spans="1:13" s="51" customFormat="1" x14ac:dyDescent="0.3">
      <c r="A187" s="719"/>
      <c r="B187" s="719"/>
      <c r="C187" s="719"/>
      <c r="D187" s="719"/>
      <c r="E187" s="719"/>
      <c r="F187" s="719"/>
      <c r="G187" s="719"/>
      <c r="H187" s="719"/>
      <c r="I187" s="719"/>
      <c r="J187" s="732"/>
      <c r="K187" s="732"/>
      <c r="L187" s="732"/>
      <c r="M187" s="719"/>
    </row>
    <row r="188" spans="1:13" s="51" customFormat="1" ht="75" x14ac:dyDescent="0.3">
      <c r="A188" s="720" t="s">
        <v>9</v>
      </c>
      <c r="B188" s="883" t="s">
        <v>10</v>
      </c>
      <c r="C188" s="883"/>
      <c r="D188" s="883"/>
      <c r="E188" s="883"/>
      <c r="F188" s="826" t="s">
        <v>11</v>
      </c>
      <c r="G188" s="883" t="s">
        <v>12</v>
      </c>
      <c r="H188" s="883"/>
      <c r="I188" s="826" t="s">
        <v>13</v>
      </c>
      <c r="J188" s="732"/>
      <c r="K188" s="732"/>
      <c r="L188" s="732"/>
      <c r="M188" s="719"/>
    </row>
    <row r="189" spans="1:13" s="51" customFormat="1" x14ac:dyDescent="0.3">
      <c r="A189" s="825">
        <v>1</v>
      </c>
      <c r="B189" s="884">
        <v>2</v>
      </c>
      <c r="C189" s="884"/>
      <c r="D189" s="884"/>
      <c r="E189" s="884"/>
      <c r="F189" s="825">
        <v>3</v>
      </c>
      <c r="G189" s="884">
        <v>4</v>
      </c>
      <c r="H189" s="884"/>
      <c r="I189" s="825">
        <v>5</v>
      </c>
      <c r="J189" s="732"/>
      <c r="K189" s="732"/>
      <c r="L189" s="732"/>
      <c r="M189" s="719"/>
    </row>
    <row r="190" spans="1:13" s="51" customFormat="1" x14ac:dyDescent="0.3">
      <c r="A190" s="900" t="s">
        <v>18</v>
      </c>
      <c r="B190" s="900"/>
      <c r="C190" s="900"/>
      <c r="D190" s="900"/>
      <c r="E190" s="900"/>
      <c r="F190" s="900"/>
      <c r="G190" s="900"/>
      <c r="H190" s="900"/>
      <c r="I190" s="900"/>
      <c r="J190" s="732"/>
      <c r="K190" s="732"/>
      <c r="L190" s="732"/>
      <c r="M190" s="719"/>
    </row>
    <row r="191" spans="1:13" s="51" customFormat="1" x14ac:dyDescent="0.3">
      <c r="A191" s="895" t="s">
        <v>14</v>
      </c>
      <c r="B191" s="895"/>
      <c r="C191" s="895"/>
      <c r="D191" s="895"/>
      <c r="E191" s="895"/>
      <c r="F191" s="895"/>
      <c r="G191" s="895"/>
      <c r="H191" s="895"/>
      <c r="I191" s="895"/>
      <c r="J191" s="732"/>
      <c r="K191" s="732"/>
      <c r="L191" s="732"/>
      <c r="M191" s="719"/>
    </row>
    <row r="192" spans="1:13" s="51" customFormat="1" x14ac:dyDescent="0.3">
      <c r="A192" s="825">
        <v>1</v>
      </c>
      <c r="B192" s="885" t="str">
        <f>КДЦ!B4</f>
        <v>звукооператор</v>
      </c>
      <c r="C192" s="885"/>
      <c r="D192" s="885"/>
      <c r="E192" s="885"/>
      <c r="F192" s="825" t="s">
        <v>162</v>
      </c>
      <c r="G192" s="908">
        <f>КДЦ!D4</f>
        <v>4.6857142857142854E-2</v>
      </c>
      <c r="H192" s="908"/>
      <c r="I192" s="825" t="s">
        <v>163</v>
      </c>
      <c r="J192" s="732"/>
      <c r="K192" s="732"/>
      <c r="L192" s="732"/>
      <c r="M192" s="725"/>
    </row>
    <row r="193" spans="1:13" s="51" customFormat="1" ht="45" customHeight="1" x14ac:dyDescent="0.3">
      <c r="A193" s="825">
        <v>2</v>
      </c>
      <c r="B193" s="885" t="str">
        <f>КДЦ!B5</f>
        <v>менеджер по культурно-массовому досугу 2 категории</v>
      </c>
      <c r="C193" s="885"/>
      <c r="D193" s="885"/>
      <c r="E193" s="885"/>
      <c r="F193" s="825" t="s">
        <v>162</v>
      </c>
      <c r="G193" s="908">
        <f>КДЦ!D5</f>
        <v>9.3714285714285708E-2</v>
      </c>
      <c r="H193" s="908"/>
      <c r="I193" s="825" t="s">
        <v>163</v>
      </c>
      <c r="J193" s="732"/>
      <c r="K193" s="732"/>
      <c r="L193" s="732"/>
      <c r="M193" s="725"/>
    </row>
    <row r="194" spans="1:13" s="51" customFormat="1" ht="24" customHeight="1" x14ac:dyDescent="0.3">
      <c r="A194" s="825">
        <v>3</v>
      </c>
      <c r="B194" s="885" t="str">
        <f>КДЦ!B6</f>
        <v>художник-оформитель</v>
      </c>
      <c r="C194" s="885"/>
      <c r="D194" s="885"/>
      <c r="E194" s="885"/>
      <c r="F194" s="825" t="s">
        <v>162</v>
      </c>
      <c r="G194" s="908">
        <f>КДЦ!D6</f>
        <v>4.6857142857142854E-2</v>
      </c>
      <c r="H194" s="908"/>
      <c r="I194" s="825" t="s">
        <v>163</v>
      </c>
      <c r="J194" s="732"/>
      <c r="K194" s="732"/>
      <c r="L194" s="732"/>
      <c r="M194" s="725"/>
    </row>
    <row r="195" spans="1:13" s="51" customFormat="1" ht="21.75" customHeight="1" x14ac:dyDescent="0.3">
      <c r="A195" s="825">
        <v>4</v>
      </c>
      <c r="B195" s="885" t="str">
        <f>КДЦ!B7</f>
        <v>киномеханик</v>
      </c>
      <c r="C195" s="885"/>
      <c r="D195" s="885"/>
      <c r="E195" s="885"/>
      <c r="F195" s="825" t="s">
        <v>162</v>
      </c>
      <c r="G195" s="908">
        <f>КДЦ!D7</f>
        <v>0.46857142857142858</v>
      </c>
      <c r="H195" s="908"/>
      <c r="I195" s="825" t="s">
        <v>163</v>
      </c>
      <c r="J195" s="732"/>
      <c r="K195" s="732"/>
      <c r="L195" s="732"/>
      <c r="M195" s="725"/>
    </row>
    <row r="196" spans="1:13" s="51" customFormat="1" x14ac:dyDescent="0.3">
      <c r="A196" s="825">
        <v>5</v>
      </c>
      <c r="B196" s="885" t="str">
        <f>КДЦ!B8</f>
        <v>кассир билетный</v>
      </c>
      <c r="C196" s="885"/>
      <c r="D196" s="885"/>
      <c r="E196" s="885"/>
      <c r="F196" s="825" t="s">
        <v>162</v>
      </c>
      <c r="G196" s="908">
        <f>КДЦ!D8</f>
        <v>0.34628571428571431</v>
      </c>
      <c r="H196" s="908"/>
      <c r="I196" s="825" t="s">
        <v>163</v>
      </c>
      <c r="J196" s="732"/>
      <c r="K196" s="732"/>
      <c r="L196" s="732"/>
      <c r="M196" s="725"/>
    </row>
    <row r="197" spans="1:13" s="51" customFormat="1" x14ac:dyDescent="0.3">
      <c r="A197" s="825">
        <v>6</v>
      </c>
      <c r="B197" s="885" t="str">
        <f>КДЦ!B9</f>
        <v>Старший кассир</v>
      </c>
      <c r="C197" s="885"/>
      <c r="D197" s="885"/>
      <c r="E197" s="885"/>
      <c r="F197" s="825" t="s">
        <v>162</v>
      </c>
      <c r="G197" s="908">
        <f>КДЦ!D9</f>
        <v>9.3714285714285708E-2</v>
      </c>
      <c r="H197" s="908"/>
      <c r="I197" s="825" t="s">
        <v>163</v>
      </c>
      <c r="J197" s="732"/>
      <c r="K197" s="732"/>
      <c r="L197" s="732"/>
      <c r="M197" s="725"/>
    </row>
    <row r="198" spans="1:13" s="51" customFormat="1" x14ac:dyDescent="0.3">
      <c r="A198" s="825">
        <v>7</v>
      </c>
      <c r="B198" s="885" t="str">
        <f>КДЦ!B10</f>
        <v>механик по обслуживанию кинотелевизионного оборудования</v>
      </c>
      <c r="C198" s="885"/>
      <c r="D198" s="885"/>
      <c r="E198" s="885"/>
      <c r="F198" s="825" t="s">
        <v>162</v>
      </c>
      <c r="G198" s="908">
        <f>КДЦ!D10</f>
        <v>9.3714285714285708E-2</v>
      </c>
      <c r="H198" s="908"/>
      <c r="I198" s="825" t="s">
        <v>163</v>
      </c>
      <c r="J198" s="732"/>
      <c r="K198" s="732"/>
      <c r="L198" s="732"/>
      <c r="M198" s="725"/>
    </row>
    <row r="199" spans="1:13" s="51" customFormat="1" x14ac:dyDescent="0.3">
      <c r="A199" s="825"/>
      <c r="B199" s="885"/>
      <c r="C199" s="885"/>
      <c r="D199" s="885"/>
      <c r="E199" s="885"/>
      <c r="F199" s="825"/>
      <c r="G199" s="909"/>
      <c r="H199" s="909"/>
      <c r="I199" s="825"/>
      <c r="J199" s="732"/>
      <c r="K199" s="732"/>
      <c r="L199" s="732"/>
      <c r="M199" s="725"/>
    </row>
    <row r="200" spans="1:13" s="51" customFormat="1" ht="73.5" customHeight="1" x14ac:dyDescent="0.3">
      <c r="A200" s="895" t="s">
        <v>15</v>
      </c>
      <c r="B200" s="895"/>
      <c r="C200" s="895"/>
      <c r="D200" s="895"/>
      <c r="E200" s="895"/>
      <c r="F200" s="895"/>
      <c r="G200" s="895"/>
      <c r="H200" s="895"/>
      <c r="I200" s="895"/>
      <c r="J200" s="732"/>
      <c r="K200" s="732"/>
      <c r="L200" s="732"/>
      <c r="M200" s="725"/>
    </row>
    <row r="201" spans="1:13" s="51" customFormat="1" x14ac:dyDescent="0.3">
      <c r="A201" s="825">
        <v>1</v>
      </c>
      <c r="B201" s="885" t="str">
        <f>'КДЦ 2'!A5</f>
        <v>ксеноновая лампа</v>
      </c>
      <c r="C201" s="885"/>
      <c r="D201" s="885"/>
      <c r="E201" s="885"/>
      <c r="F201" s="827" t="str">
        <f>'КДЦ 2'!V5</f>
        <v>шт.</v>
      </c>
      <c r="G201" s="908">
        <f>'КДЦ 2'!C5</f>
        <v>1E-3</v>
      </c>
      <c r="H201" s="908"/>
      <c r="I201" s="825">
        <v>1</v>
      </c>
      <c r="J201" s="732"/>
      <c r="K201" s="732"/>
      <c r="L201" s="732"/>
      <c r="M201" s="725"/>
    </row>
    <row r="202" spans="1:13" s="51" customFormat="1" x14ac:dyDescent="0.3">
      <c r="A202" s="825">
        <v>2</v>
      </c>
      <c r="B202" s="885" t="str">
        <f>'КДЦ 2'!A6</f>
        <v>очки</v>
      </c>
      <c r="C202" s="885"/>
      <c r="D202" s="885"/>
      <c r="E202" s="885"/>
      <c r="F202" s="827" t="str">
        <f>'КДЦ 2'!V6</f>
        <v>шт.</v>
      </c>
      <c r="G202" s="908">
        <f>'КДЦ 2'!C6</f>
        <v>7.0000000000000001E-3</v>
      </c>
      <c r="H202" s="908"/>
      <c r="I202" s="825">
        <v>5</v>
      </c>
      <c r="J202" s="732"/>
      <c r="K202" s="732"/>
      <c r="L202" s="732"/>
      <c r="M202" s="725"/>
    </row>
    <row r="203" spans="1:13" s="51" customFormat="1" x14ac:dyDescent="0.3">
      <c r="A203" s="825">
        <v>3</v>
      </c>
      <c r="B203" s="885" t="str">
        <f>'КДЦ 2'!A7</f>
        <v>салфетки (для очков)</v>
      </c>
      <c r="C203" s="885"/>
      <c r="D203" s="885"/>
      <c r="E203" s="885"/>
      <c r="F203" s="827" t="str">
        <f>'КДЦ 2'!V7</f>
        <v>уп.</v>
      </c>
      <c r="G203" s="879">
        <f>'КДЦ 2'!C7</f>
        <v>1</v>
      </c>
      <c r="H203" s="879"/>
      <c r="I203" s="825">
        <v>1</v>
      </c>
      <c r="J203" s="732"/>
      <c r="K203" s="732"/>
      <c r="L203" s="732"/>
      <c r="M203" s="725"/>
    </row>
    <row r="204" spans="1:13" s="51" customFormat="1" ht="18.75" customHeight="1" x14ac:dyDescent="0.3">
      <c r="A204" s="825">
        <v>4</v>
      </c>
      <c r="B204" s="885" t="str">
        <f>'КДЦ 2'!A8</f>
        <v>бумага гигиеническая</v>
      </c>
      <c r="C204" s="885"/>
      <c r="D204" s="885"/>
      <c r="E204" s="885"/>
      <c r="F204" s="827" t="str">
        <f>'КДЦ 2'!V8</f>
        <v>уп.</v>
      </c>
      <c r="G204" s="909">
        <f>'КДЦ 2'!C8</f>
        <v>4.4999999999999997E-3</v>
      </c>
      <c r="H204" s="909"/>
      <c r="I204" s="825">
        <v>1</v>
      </c>
      <c r="J204" s="732"/>
      <c r="K204" s="732"/>
      <c r="L204" s="732"/>
      <c r="M204" s="725"/>
    </row>
    <row r="205" spans="1:13" s="51" customFormat="1" x14ac:dyDescent="0.3">
      <c r="A205" s="825"/>
      <c r="B205" s="885"/>
      <c r="C205" s="885"/>
      <c r="D205" s="885"/>
      <c r="E205" s="885"/>
      <c r="F205" s="827"/>
      <c r="G205" s="909"/>
      <c r="H205" s="909"/>
      <c r="I205" s="825"/>
      <c r="J205" s="732"/>
      <c r="K205" s="732"/>
      <c r="L205" s="732"/>
      <c r="M205" s="725"/>
    </row>
    <row r="206" spans="1:13" s="51" customFormat="1" ht="18.75" customHeight="1" x14ac:dyDescent="0.3">
      <c r="A206" s="825"/>
      <c r="B206" s="885"/>
      <c r="C206" s="885"/>
      <c r="D206" s="885"/>
      <c r="E206" s="885"/>
      <c r="F206" s="827"/>
      <c r="G206" s="909"/>
      <c r="H206" s="909"/>
      <c r="I206" s="825"/>
      <c r="J206" s="732"/>
      <c r="K206" s="732"/>
      <c r="L206" s="732"/>
      <c r="M206" s="725"/>
    </row>
    <row r="207" spans="1:13" s="51" customFormat="1" ht="65.25" customHeight="1" x14ac:dyDescent="0.3">
      <c r="A207" s="895" t="s">
        <v>16</v>
      </c>
      <c r="B207" s="895"/>
      <c r="C207" s="895"/>
      <c r="D207" s="895"/>
      <c r="E207" s="895"/>
      <c r="F207" s="895"/>
      <c r="G207" s="895"/>
      <c r="H207" s="895"/>
      <c r="I207" s="895"/>
      <c r="J207" s="732"/>
      <c r="K207" s="732"/>
      <c r="L207" s="732"/>
      <c r="M207" s="725"/>
    </row>
    <row r="208" spans="1:13" s="51" customFormat="1" x14ac:dyDescent="0.3">
      <c r="A208" s="825">
        <v>1</v>
      </c>
      <c r="B208" s="885" t="str">
        <f>'КДЦ 2'!A14</f>
        <v>бланки билетов</v>
      </c>
      <c r="C208" s="885"/>
      <c r="D208" s="885"/>
      <c r="E208" s="885"/>
      <c r="F208" s="825" t="str">
        <f>'КДЦ 2'!V14</f>
        <v>шт</v>
      </c>
      <c r="G208" s="908">
        <f>'КДЦ 2'!C14</f>
        <v>0.32380952380952382</v>
      </c>
      <c r="H208" s="908"/>
      <c r="I208" s="825">
        <v>1</v>
      </c>
      <c r="J208" s="732"/>
      <c r="K208" s="732"/>
      <c r="L208" s="732"/>
      <c r="M208" s="725"/>
    </row>
    <row r="209" spans="1:13" s="51" customFormat="1" x14ac:dyDescent="0.3">
      <c r="A209" s="825"/>
      <c r="B209" s="884"/>
      <c r="C209" s="884"/>
      <c r="D209" s="884"/>
      <c r="E209" s="884"/>
      <c r="F209" s="825"/>
      <c r="G209" s="884"/>
      <c r="H209" s="884"/>
      <c r="I209" s="825"/>
      <c r="J209" s="732"/>
      <c r="K209" s="732"/>
      <c r="L209" s="732"/>
      <c r="M209" s="725"/>
    </row>
    <row r="210" spans="1:13" s="51" customFormat="1" x14ac:dyDescent="0.3">
      <c r="A210" s="899" t="s">
        <v>17</v>
      </c>
      <c r="B210" s="883"/>
      <c r="C210" s="883"/>
      <c r="D210" s="883"/>
      <c r="E210" s="883"/>
      <c r="F210" s="883"/>
      <c r="G210" s="883"/>
      <c r="H210" s="883"/>
      <c r="I210" s="883"/>
      <c r="J210" s="732"/>
      <c r="K210" s="732"/>
      <c r="L210" s="732"/>
      <c r="M210" s="725"/>
    </row>
    <row r="211" spans="1:13" s="51" customFormat="1" ht="48.75" customHeight="1" x14ac:dyDescent="0.3">
      <c r="A211" s="896" t="s">
        <v>19</v>
      </c>
      <c r="B211" s="897"/>
      <c r="C211" s="897"/>
      <c r="D211" s="897"/>
      <c r="E211" s="897"/>
      <c r="F211" s="897"/>
      <c r="G211" s="897"/>
      <c r="H211" s="897"/>
      <c r="I211" s="898"/>
      <c r="J211" s="732"/>
      <c r="K211" s="732"/>
      <c r="L211" s="732"/>
      <c r="M211" s="725"/>
    </row>
    <row r="212" spans="1:13" s="51" customFormat="1" ht="34.5" customHeight="1" x14ac:dyDescent="0.3">
      <c r="A212" s="825">
        <v>1</v>
      </c>
      <c r="B212" s="885" t="str">
        <f>КДЦ3!A27</f>
        <v>Административно-управленческий персонал</v>
      </c>
      <c r="C212" s="885"/>
      <c r="D212" s="885"/>
      <c r="E212" s="885"/>
      <c r="F212" s="825" t="s">
        <v>162</v>
      </c>
      <c r="G212" s="908">
        <f>КДЦ3!C27</f>
        <v>0.18438095238095237</v>
      </c>
      <c r="H212" s="908"/>
      <c r="I212" s="825" t="s">
        <v>163</v>
      </c>
      <c r="J212" s="732"/>
      <c r="K212" s="732"/>
      <c r="L212" s="732"/>
      <c r="M212" s="725"/>
    </row>
    <row r="213" spans="1:13" s="51" customFormat="1" ht="18.75" customHeight="1" x14ac:dyDescent="0.3">
      <c r="A213" s="825">
        <v>2</v>
      </c>
      <c r="B213" s="885" t="str">
        <f>КДЦ3!A28</f>
        <v>Прочий персонал</v>
      </c>
      <c r="C213" s="885"/>
      <c r="D213" s="885"/>
      <c r="E213" s="885"/>
      <c r="F213" s="825" t="s">
        <v>162</v>
      </c>
      <c r="G213" s="879">
        <f>КДЦ3!C28</f>
        <v>1.1995238095238094</v>
      </c>
      <c r="H213" s="879"/>
      <c r="I213" s="825" t="s">
        <v>163</v>
      </c>
      <c r="J213" s="732"/>
      <c r="K213" s="732"/>
      <c r="L213" s="732"/>
      <c r="M213" s="725"/>
    </row>
    <row r="214" spans="1:13" s="51" customFormat="1" ht="18.75" customHeight="1" x14ac:dyDescent="0.3">
      <c r="A214" s="825"/>
      <c r="B214" s="885"/>
      <c r="C214" s="885"/>
      <c r="D214" s="885"/>
      <c r="E214" s="885"/>
      <c r="F214" s="825"/>
      <c r="G214" s="884"/>
      <c r="H214" s="884"/>
      <c r="I214" s="825"/>
      <c r="J214" s="732"/>
      <c r="K214" s="732"/>
      <c r="L214" s="732"/>
      <c r="M214" s="719"/>
    </row>
    <row r="215" spans="1:13" s="51" customFormat="1" ht="23.25" customHeight="1" x14ac:dyDescent="0.3">
      <c r="A215" s="896" t="s">
        <v>20</v>
      </c>
      <c r="B215" s="897"/>
      <c r="C215" s="897"/>
      <c r="D215" s="897"/>
      <c r="E215" s="897"/>
      <c r="F215" s="897"/>
      <c r="G215" s="897"/>
      <c r="H215" s="897"/>
      <c r="I215" s="898"/>
      <c r="J215" s="732"/>
      <c r="K215" s="732"/>
      <c r="L215" s="732"/>
      <c r="M215" s="719"/>
    </row>
    <row r="216" spans="1:13" s="51" customFormat="1" ht="33" customHeight="1" x14ac:dyDescent="0.3">
      <c r="A216" s="825">
        <v>1</v>
      </c>
      <c r="B216" s="885" t="str">
        <f>КДЦ3!A6</f>
        <v>оплата потребления газа</v>
      </c>
      <c r="C216" s="885"/>
      <c r="D216" s="885"/>
      <c r="E216" s="885"/>
      <c r="F216" s="825" t="str">
        <f>КДЦ3!D6</f>
        <v>м3</v>
      </c>
      <c r="G216" s="911">
        <f>КДЦ3!C6</f>
        <v>1.8192690231216863E-3</v>
      </c>
      <c r="H216" s="911"/>
      <c r="I216" s="825" t="s">
        <v>163</v>
      </c>
      <c r="J216" s="732"/>
      <c r="K216" s="732"/>
      <c r="L216" s="732"/>
      <c r="M216" s="719"/>
    </row>
    <row r="217" spans="1:13" s="51" customFormat="1" ht="45.75" customHeight="1" x14ac:dyDescent="0.3">
      <c r="A217" s="825">
        <v>2</v>
      </c>
      <c r="B217" s="885" t="str">
        <f>КДЦ3!A7</f>
        <v>оплата потребления электрической энергии</v>
      </c>
      <c r="C217" s="885"/>
      <c r="D217" s="885"/>
      <c r="E217" s="885"/>
      <c r="F217" s="825" t="str">
        <f>КДЦ3!D7</f>
        <v>кват/ч</v>
      </c>
      <c r="G217" s="909">
        <f>КДЦ3!C7</f>
        <v>1.2272950417280315</v>
      </c>
      <c r="H217" s="909"/>
      <c r="I217" s="825" t="s">
        <v>163</v>
      </c>
      <c r="J217" s="732"/>
      <c r="K217" s="732"/>
      <c r="L217" s="732"/>
      <c r="M217" s="719"/>
    </row>
    <row r="218" spans="1:13" s="51" customFormat="1" ht="38.25" customHeight="1" x14ac:dyDescent="0.3">
      <c r="A218" s="825">
        <v>3</v>
      </c>
      <c r="B218" s="885" t="str">
        <f>КДЦ3!A8</f>
        <v>оплата потребления водоснабжения</v>
      </c>
      <c r="C218" s="885"/>
      <c r="D218" s="885"/>
      <c r="E218" s="885"/>
      <c r="F218" s="825" t="str">
        <f>КДЦ3!D8</f>
        <v>м3</v>
      </c>
      <c r="G218" s="911">
        <f>КДЦ3!C8</f>
        <v>7.9295695631401899E-3</v>
      </c>
      <c r="H218" s="911"/>
      <c r="I218" s="825" t="s">
        <v>163</v>
      </c>
      <c r="J218" s="732"/>
      <c r="K218" s="732"/>
      <c r="L218" s="732"/>
      <c r="M218" s="719"/>
    </row>
    <row r="219" spans="1:13" s="51" customFormat="1" x14ac:dyDescent="0.3">
      <c r="A219" s="825"/>
      <c r="B219" s="884"/>
      <c r="C219" s="884"/>
      <c r="D219" s="884"/>
      <c r="E219" s="884"/>
      <c r="F219" s="825"/>
      <c r="G219" s="884"/>
      <c r="H219" s="884"/>
      <c r="I219" s="825"/>
      <c r="J219" s="732"/>
      <c r="K219" s="732"/>
      <c r="L219" s="732"/>
      <c r="M219" s="719"/>
    </row>
    <row r="220" spans="1:13" s="51" customFormat="1" ht="45" customHeight="1" x14ac:dyDescent="0.3">
      <c r="A220" s="900" t="s">
        <v>21</v>
      </c>
      <c r="B220" s="895"/>
      <c r="C220" s="895"/>
      <c r="D220" s="895"/>
      <c r="E220" s="895"/>
      <c r="F220" s="895"/>
      <c r="G220" s="895"/>
      <c r="H220" s="895"/>
      <c r="I220" s="895"/>
      <c r="J220" s="732"/>
      <c r="K220" s="732"/>
      <c r="L220" s="732"/>
      <c r="M220" s="719"/>
    </row>
    <row r="221" spans="1:13" s="51" customFormat="1" ht="156.75" customHeight="1" x14ac:dyDescent="0.3">
      <c r="A221" s="825">
        <v>1</v>
      </c>
      <c r="B221" s="885" t="str">
        <f>КДЦ3!A11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221" s="885"/>
      <c r="D221" s="885"/>
      <c r="E221" s="885"/>
      <c r="F221" s="825" t="str">
        <f>КДЦ3!D11</f>
        <v>договор</v>
      </c>
      <c r="G221" s="911">
        <f>КДЦ3!C11</f>
        <v>9.5238095238095241E-5</v>
      </c>
      <c r="H221" s="911"/>
      <c r="I221" s="825" t="s">
        <v>163</v>
      </c>
      <c r="J221" s="732"/>
      <c r="K221" s="732"/>
      <c r="L221" s="732"/>
      <c r="M221" s="719"/>
    </row>
    <row r="222" spans="1:13" s="51" customFormat="1" ht="58.5" customHeight="1" x14ac:dyDescent="0.3">
      <c r="A222" s="825">
        <v>2</v>
      </c>
      <c r="B222" s="885" t="str">
        <f>КДЦ3!A12</f>
        <v>Техническое обслуживание газового оборудования, дымоходов</v>
      </c>
      <c r="C222" s="885"/>
      <c r="D222" s="885"/>
      <c r="E222" s="885"/>
      <c r="F222" s="825" t="str">
        <f>КДЦ3!D12</f>
        <v>договор</v>
      </c>
      <c r="G222" s="911">
        <f>КДЦ3!C12</f>
        <v>9.5238095238095241E-5</v>
      </c>
      <c r="H222" s="911"/>
      <c r="I222" s="825" t="s">
        <v>163</v>
      </c>
      <c r="J222" s="732"/>
      <c r="K222" s="732"/>
      <c r="L222" s="732"/>
      <c r="M222" s="719"/>
    </row>
    <row r="223" spans="1:13" s="51" customFormat="1" ht="77.25" customHeight="1" x14ac:dyDescent="0.3">
      <c r="A223" s="825">
        <v>3</v>
      </c>
      <c r="B223" s="885" t="str">
        <f>КДЦ3!A13</f>
        <v>Техническое обслуживание и регламентно-профилактический ремонт, в том числе на подготовку отопительной системы к зимнему сезону</v>
      </c>
      <c r="C223" s="885"/>
      <c r="D223" s="885"/>
      <c r="E223" s="885"/>
      <c r="F223" s="825" t="str">
        <f>КДЦ3!D13</f>
        <v>договор</v>
      </c>
      <c r="G223" s="911">
        <f>КДЦ3!C13</f>
        <v>9.5238095238095241E-5</v>
      </c>
      <c r="H223" s="911"/>
      <c r="I223" s="825" t="s">
        <v>163</v>
      </c>
      <c r="J223" s="732"/>
      <c r="K223" s="732"/>
      <c r="L223" s="732"/>
      <c r="M223" s="719"/>
    </row>
    <row r="224" spans="1:13" s="51" customFormat="1" ht="66" customHeight="1" x14ac:dyDescent="0.3">
      <c r="A224" s="825">
        <v>4</v>
      </c>
      <c r="B224" s="885" t="str">
        <f>КДЦ3!A14</f>
        <v>Техническое обслуживание и регламентно-профилактический ремонт электрооборудования</v>
      </c>
      <c r="C224" s="885"/>
      <c r="D224" s="885"/>
      <c r="E224" s="885"/>
      <c r="F224" s="825" t="str">
        <f>КДЦ3!D14</f>
        <v>договор</v>
      </c>
      <c r="G224" s="911">
        <f>КДЦ3!C14</f>
        <v>9.5238095238095241E-5</v>
      </c>
      <c r="H224" s="911"/>
      <c r="I224" s="825" t="s">
        <v>163</v>
      </c>
      <c r="J224" s="732"/>
      <c r="K224" s="732"/>
      <c r="L224" s="732"/>
      <c r="M224" s="719"/>
    </row>
    <row r="225" spans="1:13" s="51" customFormat="1" ht="36.75" customHeight="1" x14ac:dyDescent="0.3">
      <c r="A225" s="825">
        <v>5</v>
      </c>
      <c r="B225" s="885" t="str">
        <f>КДЦ3!A15</f>
        <v>Вывоз твердых бытовых отходов, утилизация отходов</v>
      </c>
      <c r="C225" s="885"/>
      <c r="D225" s="885"/>
      <c r="E225" s="885"/>
      <c r="F225" s="825" t="str">
        <f>КДЦ3!D15</f>
        <v>договор</v>
      </c>
      <c r="G225" s="911">
        <f>КДЦ3!C15</f>
        <v>9.5238095238095241E-5</v>
      </c>
      <c r="H225" s="911"/>
      <c r="I225" s="825" t="s">
        <v>163</v>
      </c>
      <c r="J225" s="732"/>
      <c r="K225" s="732"/>
      <c r="L225" s="732"/>
      <c r="M225" s="719"/>
    </row>
    <row r="226" spans="1:13" s="51" customFormat="1" ht="20.25" customHeight="1" x14ac:dyDescent="0.3">
      <c r="A226" s="825"/>
      <c r="B226" s="885"/>
      <c r="C226" s="885"/>
      <c r="D226" s="885"/>
      <c r="E226" s="885"/>
      <c r="F226" s="825"/>
      <c r="G226" s="908"/>
      <c r="H226" s="908"/>
      <c r="I226" s="825"/>
      <c r="J226" s="732"/>
      <c r="K226" s="732"/>
      <c r="L226" s="732"/>
      <c r="M226" s="719"/>
    </row>
    <row r="227" spans="1:13" s="51" customFormat="1" ht="24" customHeight="1" x14ac:dyDescent="0.3">
      <c r="A227" s="825"/>
      <c r="B227" s="885"/>
      <c r="C227" s="885"/>
      <c r="D227" s="885"/>
      <c r="E227" s="885"/>
      <c r="F227" s="825"/>
      <c r="G227" s="908"/>
      <c r="H227" s="908"/>
      <c r="I227" s="825"/>
      <c r="J227" s="732"/>
      <c r="K227" s="732"/>
      <c r="L227" s="732"/>
      <c r="M227" s="719"/>
    </row>
    <row r="228" spans="1:13" s="51" customFormat="1" ht="21" customHeight="1" x14ac:dyDescent="0.3">
      <c r="A228" s="895" t="s">
        <v>22</v>
      </c>
      <c r="B228" s="895"/>
      <c r="C228" s="895"/>
      <c r="D228" s="895"/>
      <c r="E228" s="895"/>
      <c r="F228" s="895"/>
      <c r="G228" s="895"/>
      <c r="H228" s="895"/>
      <c r="I228" s="895"/>
      <c r="J228" s="732"/>
      <c r="K228" s="732"/>
      <c r="L228" s="732"/>
      <c r="M228" s="719"/>
    </row>
    <row r="229" spans="1:13" s="51" customFormat="1" x14ac:dyDescent="0.3">
      <c r="A229" s="825">
        <v>1</v>
      </c>
      <c r="B229" s="885" t="str">
        <f>КДЦ3!A23</f>
        <v>услуги связи</v>
      </c>
      <c r="C229" s="885"/>
      <c r="D229" s="885"/>
      <c r="E229" s="885"/>
      <c r="F229" s="825" t="str">
        <f>КДЦ3!D23</f>
        <v>мин.</v>
      </c>
      <c r="G229" s="909">
        <f>КДЦ3!C23</f>
        <v>0.66137566137566151</v>
      </c>
      <c r="H229" s="909"/>
      <c r="I229" s="825" t="s">
        <v>163</v>
      </c>
      <c r="J229" s="732"/>
      <c r="K229" s="732"/>
      <c r="L229" s="732"/>
      <c r="M229" s="719"/>
    </row>
    <row r="230" spans="1:13" s="51" customFormat="1" x14ac:dyDescent="0.3">
      <c r="A230" s="825">
        <v>2</v>
      </c>
      <c r="B230" s="885" t="str">
        <f>КДЦ3!A24</f>
        <v>интернет</v>
      </c>
      <c r="C230" s="885"/>
      <c r="D230" s="885"/>
      <c r="E230" s="885"/>
      <c r="F230" s="825" t="str">
        <f>КДЦ3!D24</f>
        <v>Г.</v>
      </c>
      <c r="G230" s="909">
        <f>КДЦ3!C24</f>
        <v>0.1626984126984127</v>
      </c>
      <c r="H230" s="909"/>
      <c r="I230" s="825" t="s">
        <v>163</v>
      </c>
      <c r="J230" s="732"/>
      <c r="K230" s="732"/>
      <c r="L230" s="732"/>
      <c r="M230" s="719"/>
    </row>
    <row r="231" spans="1:13" s="51" customFormat="1" x14ac:dyDescent="0.3">
      <c r="A231" s="825"/>
      <c r="B231" s="884"/>
      <c r="C231" s="884"/>
      <c r="D231" s="884"/>
      <c r="E231" s="884"/>
      <c r="F231" s="825"/>
      <c r="G231" s="884"/>
      <c r="H231" s="884"/>
      <c r="I231" s="825"/>
      <c r="J231" s="732"/>
      <c r="K231" s="732"/>
      <c r="L231" s="732"/>
      <c r="M231" s="719"/>
    </row>
    <row r="232" spans="1:13" s="51" customFormat="1" ht="31.5" customHeight="1" x14ac:dyDescent="0.3">
      <c r="A232" s="895" t="s">
        <v>23</v>
      </c>
      <c r="B232" s="895"/>
      <c r="C232" s="895"/>
      <c r="D232" s="895"/>
      <c r="E232" s="895"/>
      <c r="F232" s="895"/>
      <c r="G232" s="895"/>
      <c r="H232" s="895"/>
      <c r="I232" s="895"/>
      <c r="J232" s="732"/>
      <c r="K232" s="732"/>
      <c r="L232" s="732"/>
      <c r="M232" s="719"/>
    </row>
    <row r="233" spans="1:13" s="51" customFormat="1" ht="79.5" customHeight="1" x14ac:dyDescent="0.3">
      <c r="A233" s="825">
        <v>1</v>
      </c>
      <c r="B233" s="885" t="str">
        <f>КДЦ3!A33</f>
        <v>Обучение персонала (электро, тепло, газовое хозяйство, пожарная безопасность, охрана труда и др.)</v>
      </c>
      <c r="C233" s="885"/>
      <c r="D233" s="885"/>
      <c r="E233" s="885"/>
      <c r="F233" s="825" t="str">
        <f>КДЦ3!D33</f>
        <v>чел.</v>
      </c>
      <c r="G233" s="911">
        <f>КДЦ3!C33</f>
        <v>2.8571428571428574E-4</v>
      </c>
      <c r="H233" s="911"/>
      <c r="I233" s="825" t="s">
        <v>163</v>
      </c>
      <c r="J233" s="732"/>
      <c r="K233" s="732"/>
      <c r="L233" s="732"/>
      <c r="M233" s="719"/>
    </row>
    <row r="234" spans="1:13" s="51" customFormat="1" ht="45.75" customHeight="1" x14ac:dyDescent="0.3">
      <c r="A234" s="721">
        <v>2</v>
      </c>
      <c r="B234" s="885" t="str">
        <f>КДЦ3!A34</f>
        <v>Обслуживание программных комплексов</v>
      </c>
      <c r="C234" s="885"/>
      <c r="D234" s="885"/>
      <c r="E234" s="885"/>
      <c r="F234" s="825" t="str">
        <f>КДЦ3!D34</f>
        <v>договор</v>
      </c>
      <c r="G234" s="911">
        <f>КДЦ3!C34</f>
        <v>9.5238095238095241E-5</v>
      </c>
      <c r="H234" s="911"/>
      <c r="I234" s="825" t="s">
        <v>163</v>
      </c>
      <c r="J234" s="732"/>
      <c r="K234" s="732"/>
      <c r="L234" s="732"/>
      <c r="M234" s="719"/>
    </row>
    <row r="235" spans="1:13" s="51" customFormat="1" ht="30.75" customHeight="1" x14ac:dyDescent="0.3">
      <c r="A235" s="721">
        <v>3</v>
      </c>
      <c r="B235" s="885" t="s">
        <v>269</v>
      </c>
      <c r="C235" s="885"/>
      <c r="D235" s="885"/>
      <c r="E235" s="885"/>
      <c r="F235" s="825" t="s">
        <v>82</v>
      </c>
      <c r="G235" s="883">
        <f>0.04</f>
        <v>0.04</v>
      </c>
      <c r="H235" s="883"/>
      <c r="I235" s="825" t="s">
        <v>163</v>
      </c>
      <c r="J235" s="732"/>
      <c r="K235" s="732"/>
      <c r="L235" s="732"/>
      <c r="M235" s="719"/>
    </row>
    <row r="236" spans="1:13" s="51" customFormat="1" x14ac:dyDescent="0.3">
      <c r="A236" s="719"/>
      <c r="B236" s="719"/>
      <c r="C236" s="719"/>
      <c r="D236" s="719"/>
      <c r="E236" s="719"/>
      <c r="F236" s="719"/>
      <c r="G236" s="719"/>
      <c r="H236" s="719"/>
      <c r="I236" s="719"/>
      <c r="J236" s="719"/>
      <c r="K236" s="719"/>
      <c r="L236" s="719"/>
      <c r="M236" s="719"/>
    </row>
    <row r="237" spans="1:13" s="51" customFormat="1" x14ac:dyDescent="0.3">
      <c r="A237" s="719"/>
      <c r="B237" s="719"/>
      <c r="C237" s="719"/>
      <c r="D237" s="719"/>
      <c r="E237" s="719"/>
      <c r="F237" s="719"/>
      <c r="G237" s="719"/>
      <c r="H237" s="719"/>
      <c r="I237" s="719"/>
      <c r="J237" s="719"/>
      <c r="K237" s="719"/>
      <c r="L237" s="719"/>
      <c r="M237" s="719"/>
    </row>
    <row r="238" spans="1:13" s="51" customFormat="1" ht="19.5" customHeight="1" x14ac:dyDescent="0.3">
      <c r="A238" s="901" t="s">
        <v>4</v>
      </c>
      <c r="B238" s="901"/>
      <c r="C238" s="901"/>
      <c r="D238" s="901"/>
      <c r="E238" s="901"/>
      <c r="F238" s="901"/>
      <c r="G238" s="901"/>
      <c r="H238" s="901"/>
      <c r="I238" s="901"/>
      <c r="J238" s="732"/>
      <c r="K238" s="732"/>
      <c r="L238" s="732"/>
      <c r="M238" s="719"/>
    </row>
    <row r="239" spans="1:13" s="51" customFormat="1" x14ac:dyDescent="0.3">
      <c r="A239" s="901" t="s">
        <v>5</v>
      </c>
      <c r="B239" s="901"/>
      <c r="C239" s="901"/>
      <c r="D239" s="901"/>
      <c r="E239" s="901"/>
      <c r="F239" s="901"/>
      <c r="G239" s="901"/>
      <c r="H239" s="901"/>
      <c r="I239" s="901"/>
      <c r="J239" s="732"/>
      <c r="K239" s="732"/>
      <c r="L239" s="732"/>
      <c r="M239" s="719"/>
    </row>
    <row r="240" spans="1:13" s="51" customFormat="1" x14ac:dyDescent="0.3">
      <c r="A240" s="901" t="s">
        <v>6</v>
      </c>
      <c r="B240" s="901"/>
      <c r="C240" s="901"/>
      <c r="D240" s="901"/>
      <c r="E240" s="901"/>
      <c r="F240" s="901"/>
      <c r="G240" s="901"/>
      <c r="H240" s="901"/>
      <c r="I240" s="901"/>
      <c r="J240" s="732"/>
      <c r="K240" s="732"/>
      <c r="L240" s="732"/>
      <c r="M240" s="719"/>
    </row>
    <row r="241" spans="1:13" s="51" customFormat="1" x14ac:dyDescent="0.3">
      <c r="A241" s="910" t="s">
        <v>284</v>
      </c>
      <c r="B241" s="901"/>
      <c r="C241" s="901"/>
      <c r="D241" s="901"/>
      <c r="E241" s="901"/>
      <c r="F241" s="901"/>
      <c r="G241" s="901"/>
      <c r="H241" s="901"/>
      <c r="I241" s="901"/>
      <c r="J241" s="732"/>
      <c r="K241" s="732"/>
      <c r="L241" s="732"/>
      <c r="M241" s="719"/>
    </row>
    <row r="242" spans="1:13" s="51" customFormat="1" x14ac:dyDescent="0.3">
      <c r="A242" s="903" t="s">
        <v>304</v>
      </c>
      <c r="B242" s="903"/>
      <c r="C242" s="903"/>
      <c r="D242" s="903"/>
      <c r="E242" s="903"/>
      <c r="F242" s="903"/>
      <c r="G242" s="903"/>
      <c r="H242" s="903"/>
      <c r="I242" s="903"/>
      <c r="J242" s="732"/>
      <c r="K242" s="732"/>
      <c r="L242" s="732"/>
      <c r="M242" s="719"/>
    </row>
    <row r="243" spans="1:13" s="51" customFormat="1" x14ac:dyDescent="0.3">
      <c r="A243" s="905" t="s">
        <v>295</v>
      </c>
      <c r="B243" s="905"/>
      <c r="C243" s="905"/>
      <c r="D243" s="905"/>
      <c r="E243" s="905"/>
      <c r="F243" s="905"/>
      <c r="G243" s="905"/>
      <c r="H243" s="905"/>
      <c r="I243" s="905"/>
      <c r="J243" s="732"/>
      <c r="K243" s="904" t="s">
        <v>122</v>
      </c>
      <c r="L243" s="904"/>
      <c r="M243" s="904"/>
    </row>
    <row r="244" spans="1:13" s="51" customFormat="1" x14ac:dyDescent="0.3">
      <c r="A244" s="719"/>
      <c r="B244" s="719"/>
      <c r="C244" s="719"/>
      <c r="D244" s="719"/>
      <c r="E244" s="719"/>
      <c r="F244" s="719"/>
      <c r="G244" s="719"/>
      <c r="H244" s="719"/>
      <c r="I244" s="719"/>
      <c r="J244" s="732"/>
      <c r="K244" s="732"/>
      <c r="L244" s="732"/>
      <c r="M244" s="719"/>
    </row>
    <row r="245" spans="1:13" s="51" customFormat="1" ht="75" x14ac:dyDescent="0.3">
      <c r="A245" s="720" t="s">
        <v>9</v>
      </c>
      <c r="B245" s="883" t="s">
        <v>10</v>
      </c>
      <c r="C245" s="883"/>
      <c r="D245" s="883"/>
      <c r="E245" s="883"/>
      <c r="F245" s="826" t="s">
        <v>11</v>
      </c>
      <c r="G245" s="883" t="s">
        <v>12</v>
      </c>
      <c r="H245" s="883"/>
      <c r="I245" s="826" t="s">
        <v>13</v>
      </c>
      <c r="J245" s="732"/>
      <c r="K245" s="732"/>
      <c r="L245" s="732"/>
      <c r="M245" s="719"/>
    </row>
    <row r="246" spans="1:13" s="51" customFormat="1" x14ac:dyDescent="0.3">
      <c r="A246" s="825">
        <v>1</v>
      </c>
      <c r="B246" s="884">
        <v>2</v>
      </c>
      <c r="C246" s="884"/>
      <c r="D246" s="884"/>
      <c r="E246" s="884"/>
      <c r="F246" s="825">
        <v>3</v>
      </c>
      <c r="G246" s="884">
        <v>4</v>
      </c>
      <c r="H246" s="884"/>
      <c r="I246" s="825">
        <v>5</v>
      </c>
      <c r="J246" s="732"/>
      <c r="K246" s="732"/>
      <c r="L246" s="732"/>
      <c r="M246" s="719"/>
    </row>
    <row r="247" spans="1:13" s="51" customFormat="1" x14ac:dyDescent="0.3">
      <c r="A247" s="900" t="s">
        <v>18</v>
      </c>
      <c r="B247" s="900"/>
      <c r="C247" s="900"/>
      <c r="D247" s="900"/>
      <c r="E247" s="900"/>
      <c r="F247" s="900"/>
      <c r="G247" s="900"/>
      <c r="H247" s="900"/>
      <c r="I247" s="900"/>
      <c r="J247" s="732"/>
      <c r="K247" s="732"/>
      <c r="L247" s="732"/>
      <c r="M247" s="719"/>
    </row>
    <row r="248" spans="1:13" s="51" customFormat="1" x14ac:dyDescent="0.3">
      <c r="A248" s="895" t="s">
        <v>14</v>
      </c>
      <c r="B248" s="895"/>
      <c r="C248" s="895"/>
      <c r="D248" s="895"/>
      <c r="E248" s="895"/>
      <c r="F248" s="895"/>
      <c r="G248" s="895"/>
      <c r="H248" s="895"/>
      <c r="I248" s="895"/>
      <c r="J248" s="732"/>
      <c r="K248" s="732"/>
      <c r="L248" s="732"/>
      <c r="M248" s="719"/>
    </row>
    <row r="249" spans="1:13" s="51" customFormat="1" ht="26.25" customHeight="1" x14ac:dyDescent="0.3">
      <c r="A249" s="825">
        <v>1</v>
      </c>
      <c r="B249" s="885" t="str">
        <f>КДЦ!B4</f>
        <v>звукооператор</v>
      </c>
      <c r="C249" s="885"/>
      <c r="D249" s="885"/>
      <c r="E249" s="885"/>
      <c r="F249" s="825" t="s">
        <v>162</v>
      </c>
      <c r="G249" s="883">
        <f>КДЦ!I4</f>
        <v>1.64</v>
      </c>
      <c r="H249" s="883"/>
      <c r="I249" s="825" t="s">
        <v>163</v>
      </c>
      <c r="J249" s="732"/>
      <c r="K249" s="732"/>
      <c r="L249" s="732"/>
      <c r="M249" s="725"/>
    </row>
    <row r="250" spans="1:13" s="51" customFormat="1" ht="27.75" customHeight="1" x14ac:dyDescent="0.3">
      <c r="A250" s="825">
        <v>2</v>
      </c>
      <c r="B250" s="885" t="str">
        <f>КДЦ!B6</f>
        <v>художник-оформитель</v>
      </c>
      <c r="C250" s="885"/>
      <c r="D250" s="885"/>
      <c r="E250" s="885"/>
      <c r="F250" s="825" t="s">
        <v>162</v>
      </c>
      <c r="G250" s="883">
        <f>КДЦ!I6</f>
        <v>1.64</v>
      </c>
      <c r="H250" s="883"/>
      <c r="I250" s="825" t="s">
        <v>163</v>
      </c>
      <c r="J250" s="732"/>
      <c r="K250" s="732"/>
      <c r="L250" s="732"/>
      <c r="M250" s="725"/>
    </row>
    <row r="251" spans="1:13" s="51" customFormat="1" ht="35.25" customHeight="1" x14ac:dyDescent="0.3">
      <c r="A251" s="825">
        <v>3</v>
      </c>
      <c r="B251" s="885" t="str">
        <f>КДЦ!B11</f>
        <v>Культ организатор 1-й категории</v>
      </c>
      <c r="C251" s="885"/>
      <c r="D251" s="885"/>
      <c r="E251" s="885"/>
      <c r="F251" s="825" t="s">
        <v>162</v>
      </c>
      <c r="G251" s="883">
        <f>КДЦ!I11</f>
        <v>6.56</v>
      </c>
      <c r="H251" s="883"/>
      <c r="I251" s="825" t="s">
        <v>163</v>
      </c>
      <c r="J251" s="732"/>
      <c r="K251" s="732"/>
      <c r="L251" s="732"/>
      <c r="M251" s="725"/>
    </row>
    <row r="252" spans="1:13" s="51" customFormat="1" ht="33.75" customHeight="1" x14ac:dyDescent="0.3">
      <c r="A252" s="825">
        <v>4</v>
      </c>
      <c r="B252" s="885" t="str">
        <f>КДЦ!B12</f>
        <v>специалист по связи с общественностью</v>
      </c>
      <c r="C252" s="885"/>
      <c r="D252" s="885"/>
      <c r="E252" s="885"/>
      <c r="F252" s="825" t="s">
        <v>162</v>
      </c>
      <c r="G252" s="883">
        <f>КДЦ!I12</f>
        <v>3.28</v>
      </c>
      <c r="H252" s="883"/>
      <c r="I252" s="825" t="s">
        <v>163</v>
      </c>
      <c r="J252" s="732"/>
      <c r="K252" s="732"/>
      <c r="L252" s="732"/>
      <c r="M252" s="725"/>
    </row>
    <row r="253" spans="1:13" s="51" customFormat="1" ht="63.75" customHeight="1" x14ac:dyDescent="0.3">
      <c r="A253" s="895" t="s">
        <v>15</v>
      </c>
      <c r="B253" s="895"/>
      <c r="C253" s="895"/>
      <c r="D253" s="895"/>
      <c r="E253" s="895"/>
      <c r="F253" s="895"/>
      <c r="G253" s="895"/>
      <c r="H253" s="895"/>
      <c r="I253" s="895"/>
      <c r="J253" s="732"/>
      <c r="K253" s="732"/>
      <c r="L253" s="732"/>
      <c r="M253" s="725"/>
    </row>
    <row r="254" spans="1:13" s="51" customFormat="1" x14ac:dyDescent="0.3">
      <c r="A254" s="825">
        <v>1</v>
      </c>
      <c r="B254" s="885" t="str">
        <f>'КДЦ 2'!A9</f>
        <v>канц. товары (бумага)</v>
      </c>
      <c r="C254" s="885"/>
      <c r="D254" s="885"/>
      <c r="E254" s="885"/>
      <c r="F254" s="825" t="str">
        <f>'КДЦ 2'!V8</f>
        <v>уп.</v>
      </c>
      <c r="G254" s="879">
        <f>'КДЦ 2'!H9</f>
        <v>20</v>
      </c>
      <c r="H254" s="879"/>
      <c r="I254" s="825">
        <v>1</v>
      </c>
      <c r="J254" s="732"/>
      <c r="K254" s="732"/>
      <c r="L254" s="732"/>
      <c r="M254" s="725"/>
    </row>
    <row r="255" spans="1:13" s="51" customFormat="1" x14ac:dyDescent="0.3">
      <c r="A255" s="825">
        <v>2</v>
      </c>
      <c r="B255" s="885" t="str">
        <f>'КДЦ 2'!A10</f>
        <v>ручка</v>
      </c>
      <c r="C255" s="885"/>
      <c r="D255" s="885"/>
      <c r="E255" s="885"/>
      <c r="F255" s="825" t="str">
        <f>'КДЦ 2'!V9</f>
        <v>уп.</v>
      </c>
      <c r="G255" s="908">
        <f>'КДЦ 2'!H10</f>
        <v>0.05</v>
      </c>
      <c r="H255" s="908"/>
      <c r="I255" s="825">
        <v>1</v>
      </c>
      <c r="J255" s="732"/>
      <c r="K255" s="732"/>
      <c r="L255" s="732"/>
      <c r="M255" s="725"/>
    </row>
    <row r="256" spans="1:13" s="51" customFormat="1" x14ac:dyDescent="0.3">
      <c r="A256" s="825">
        <v>3</v>
      </c>
      <c r="B256" s="885" t="str">
        <f>'КДЦ 2'!A11</f>
        <v>ГСМ</v>
      </c>
      <c r="C256" s="885"/>
      <c r="D256" s="885"/>
      <c r="E256" s="885"/>
      <c r="F256" s="825" t="str">
        <f>'КДЦ 2'!V11</f>
        <v>Л.</v>
      </c>
      <c r="G256" s="908">
        <f>'КДЦ 2'!H11</f>
        <v>0.26500000000000001</v>
      </c>
      <c r="H256" s="908"/>
      <c r="I256" s="825">
        <v>1</v>
      </c>
      <c r="J256" s="732"/>
      <c r="K256" s="732"/>
      <c r="L256" s="732"/>
      <c r="M256" s="725"/>
    </row>
    <row r="257" spans="1:13" s="51" customFormat="1" x14ac:dyDescent="0.3">
      <c r="A257" s="825"/>
      <c r="B257" s="884"/>
      <c r="C257" s="884"/>
      <c r="D257" s="884"/>
      <c r="E257" s="884"/>
      <c r="F257" s="825"/>
      <c r="G257" s="884"/>
      <c r="H257" s="884"/>
      <c r="I257" s="825"/>
      <c r="J257" s="732"/>
      <c r="K257" s="732"/>
      <c r="L257" s="732"/>
      <c r="M257" s="725"/>
    </row>
    <row r="258" spans="1:13" s="51" customFormat="1" ht="57" customHeight="1" x14ac:dyDescent="0.3">
      <c r="A258" s="895" t="s">
        <v>16</v>
      </c>
      <c r="B258" s="895"/>
      <c r="C258" s="895"/>
      <c r="D258" s="895"/>
      <c r="E258" s="895"/>
      <c r="F258" s="895"/>
      <c r="G258" s="895"/>
      <c r="H258" s="895"/>
      <c r="I258" s="895"/>
      <c r="J258" s="732"/>
      <c r="K258" s="732"/>
      <c r="L258" s="732"/>
      <c r="M258" s="725"/>
    </row>
    <row r="259" spans="1:13" s="51" customFormat="1" x14ac:dyDescent="0.3">
      <c r="A259" s="825"/>
      <c r="B259" s="884"/>
      <c r="C259" s="884"/>
      <c r="D259" s="884"/>
      <c r="E259" s="884"/>
      <c r="F259" s="825"/>
      <c r="G259" s="884"/>
      <c r="H259" s="884"/>
      <c r="I259" s="825"/>
      <c r="J259" s="732"/>
      <c r="K259" s="732"/>
      <c r="L259" s="732"/>
      <c r="M259" s="725"/>
    </row>
    <row r="260" spans="1:13" s="51" customFormat="1" x14ac:dyDescent="0.3">
      <c r="A260" s="825"/>
      <c r="B260" s="884"/>
      <c r="C260" s="884"/>
      <c r="D260" s="884"/>
      <c r="E260" s="884"/>
      <c r="F260" s="825"/>
      <c r="G260" s="884"/>
      <c r="H260" s="884"/>
      <c r="I260" s="825"/>
      <c r="J260" s="732"/>
      <c r="K260" s="732"/>
      <c r="L260" s="732"/>
      <c r="M260" s="725"/>
    </row>
    <row r="261" spans="1:13" s="51" customFormat="1" x14ac:dyDescent="0.3">
      <c r="A261" s="899" t="s">
        <v>17</v>
      </c>
      <c r="B261" s="883"/>
      <c r="C261" s="883"/>
      <c r="D261" s="883"/>
      <c r="E261" s="883"/>
      <c r="F261" s="883"/>
      <c r="G261" s="883"/>
      <c r="H261" s="883"/>
      <c r="I261" s="883"/>
      <c r="J261" s="732"/>
      <c r="K261" s="732"/>
      <c r="L261" s="732"/>
      <c r="M261" s="725"/>
    </row>
    <row r="262" spans="1:13" s="51" customFormat="1" ht="45" customHeight="1" x14ac:dyDescent="0.3">
      <c r="A262" s="896" t="s">
        <v>19</v>
      </c>
      <c r="B262" s="897"/>
      <c r="C262" s="897"/>
      <c r="D262" s="897"/>
      <c r="E262" s="897"/>
      <c r="F262" s="897"/>
      <c r="G262" s="897"/>
      <c r="H262" s="897"/>
      <c r="I262" s="898"/>
      <c r="J262" s="732"/>
      <c r="K262" s="732"/>
      <c r="L262" s="732"/>
      <c r="M262" s="725"/>
    </row>
    <row r="263" spans="1:13" s="51" customFormat="1" ht="40.5" customHeight="1" x14ac:dyDescent="0.3">
      <c r="A263" s="825">
        <v>1</v>
      </c>
      <c r="B263" s="885" t="str">
        <f>КДЦ3!A27</f>
        <v>Административно-управленческий персонал</v>
      </c>
      <c r="C263" s="885"/>
      <c r="D263" s="885"/>
      <c r="E263" s="885"/>
      <c r="F263" s="825" t="s">
        <v>162</v>
      </c>
      <c r="G263" s="908">
        <f>КДЦ3!H27</f>
        <v>8.666666666666667E-2</v>
      </c>
      <c r="H263" s="908"/>
      <c r="I263" s="825" t="s">
        <v>163</v>
      </c>
      <c r="J263" s="732"/>
      <c r="K263" s="732"/>
      <c r="L263" s="732"/>
      <c r="M263" s="725"/>
    </row>
    <row r="264" spans="1:13" s="51" customFormat="1" ht="28.5" customHeight="1" x14ac:dyDescent="0.3">
      <c r="A264" s="825">
        <v>2</v>
      </c>
      <c r="B264" s="885" t="str">
        <f>КДЦ3!A28</f>
        <v>Прочий персонал</v>
      </c>
      <c r="C264" s="885"/>
      <c r="D264" s="885"/>
      <c r="E264" s="885"/>
      <c r="F264" s="825" t="s">
        <v>162</v>
      </c>
      <c r="G264" s="908">
        <f>КДЦ3!H28</f>
        <v>0.57399999999999995</v>
      </c>
      <c r="H264" s="908"/>
      <c r="I264" s="825" t="s">
        <v>163</v>
      </c>
      <c r="J264" s="732"/>
      <c r="K264" s="732"/>
      <c r="L264" s="732"/>
      <c r="M264" s="725"/>
    </row>
    <row r="265" spans="1:13" s="51" customFormat="1" x14ac:dyDescent="0.3">
      <c r="A265" s="825"/>
      <c r="B265" s="884"/>
      <c r="C265" s="884"/>
      <c r="D265" s="884"/>
      <c r="E265" s="884"/>
      <c r="F265" s="825"/>
      <c r="G265" s="884"/>
      <c r="H265" s="884"/>
      <c r="I265" s="825"/>
      <c r="J265" s="732"/>
      <c r="K265" s="732"/>
      <c r="L265" s="732"/>
      <c r="M265" s="719"/>
    </row>
    <row r="266" spans="1:13" s="51" customFormat="1" ht="23.25" customHeight="1" x14ac:dyDescent="0.3">
      <c r="A266" s="896" t="s">
        <v>20</v>
      </c>
      <c r="B266" s="897"/>
      <c r="C266" s="897"/>
      <c r="D266" s="897"/>
      <c r="E266" s="897"/>
      <c r="F266" s="897"/>
      <c r="G266" s="897"/>
      <c r="H266" s="897"/>
      <c r="I266" s="898"/>
      <c r="J266" s="732"/>
      <c r="K266" s="732"/>
      <c r="L266" s="732"/>
      <c r="M266" s="719"/>
    </row>
    <row r="267" spans="1:13" s="51" customFormat="1" ht="21.75" customHeight="1" x14ac:dyDescent="0.3">
      <c r="A267" s="825">
        <v>1</v>
      </c>
      <c r="B267" s="885" t="str">
        <f>КДЦ3!A6</f>
        <v>оплата потребления газа</v>
      </c>
      <c r="C267" s="885"/>
      <c r="D267" s="885"/>
      <c r="E267" s="885"/>
      <c r="F267" s="825" t="str">
        <f>КДЦ3!I6</f>
        <v>м3</v>
      </c>
      <c r="G267" s="908">
        <f>КДЦ3!H6</f>
        <v>6.3674415809259019E-2</v>
      </c>
      <c r="H267" s="908"/>
      <c r="I267" s="825" t="s">
        <v>163</v>
      </c>
      <c r="J267" s="732"/>
      <c r="K267" s="732"/>
      <c r="L267" s="732"/>
      <c r="M267" s="719"/>
    </row>
    <row r="268" spans="1:13" s="51" customFormat="1" ht="38.25" customHeight="1" x14ac:dyDescent="0.3">
      <c r="A268" s="825">
        <v>2</v>
      </c>
      <c r="B268" s="885" t="str">
        <f>КДЦ3!A7</f>
        <v>оплата потребления электрической энергии</v>
      </c>
      <c r="C268" s="885"/>
      <c r="D268" s="885"/>
      <c r="E268" s="885"/>
      <c r="F268" s="825" t="str">
        <f>КДЦ3!I7</f>
        <v>кват/ч</v>
      </c>
      <c r="G268" s="908">
        <f>КДЦ3!H7</f>
        <v>42.955326460481096</v>
      </c>
      <c r="H268" s="908"/>
      <c r="I268" s="825" t="s">
        <v>163</v>
      </c>
      <c r="J268" s="732"/>
      <c r="K268" s="732"/>
      <c r="L268" s="732"/>
      <c r="M268" s="719"/>
    </row>
    <row r="269" spans="1:13" s="51" customFormat="1" ht="40.5" customHeight="1" x14ac:dyDescent="0.3">
      <c r="A269" s="825">
        <v>3</v>
      </c>
      <c r="B269" s="885" t="str">
        <f>КДЦ3!A8</f>
        <v>оплата потребления водоснабжения</v>
      </c>
      <c r="C269" s="885"/>
      <c r="D269" s="885"/>
      <c r="E269" s="885"/>
      <c r="F269" s="825" t="str">
        <f>КДЦ3!I8</f>
        <v>м3</v>
      </c>
      <c r="G269" s="908">
        <f>КДЦ3!H8</f>
        <v>0.27753493470990664</v>
      </c>
      <c r="H269" s="908"/>
      <c r="I269" s="825" t="s">
        <v>163</v>
      </c>
      <c r="J269" s="732"/>
      <c r="K269" s="732"/>
      <c r="L269" s="732"/>
      <c r="M269" s="719"/>
    </row>
    <row r="270" spans="1:13" s="51" customFormat="1" x14ac:dyDescent="0.3">
      <c r="A270" s="825"/>
      <c r="B270" s="884"/>
      <c r="C270" s="884"/>
      <c r="D270" s="884"/>
      <c r="E270" s="884"/>
      <c r="F270" s="825"/>
      <c r="G270" s="884"/>
      <c r="H270" s="884"/>
      <c r="I270" s="825"/>
      <c r="J270" s="732"/>
      <c r="K270" s="732"/>
      <c r="L270" s="732"/>
      <c r="M270" s="719"/>
    </row>
    <row r="271" spans="1:13" s="51" customFormat="1" ht="45.75" customHeight="1" x14ac:dyDescent="0.3">
      <c r="A271" s="900" t="s">
        <v>21</v>
      </c>
      <c r="B271" s="895"/>
      <c r="C271" s="895"/>
      <c r="D271" s="895"/>
      <c r="E271" s="895"/>
      <c r="F271" s="895"/>
      <c r="G271" s="895"/>
      <c r="H271" s="895"/>
      <c r="I271" s="895"/>
      <c r="J271" s="732"/>
      <c r="K271" s="732"/>
      <c r="L271" s="732"/>
      <c r="M271" s="719"/>
    </row>
    <row r="272" spans="1:13" s="51" customFormat="1" ht="71.25" customHeight="1" x14ac:dyDescent="0.3">
      <c r="A272" s="825">
        <v>1</v>
      </c>
      <c r="B272" s="885" t="str">
        <f>КДЦ3!A11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272" s="885"/>
      <c r="D272" s="885"/>
      <c r="E272" s="885"/>
      <c r="F272" s="825" t="str">
        <f>КДЦ3!D11</f>
        <v>договор</v>
      </c>
      <c r="G272" s="909">
        <v>5.7999999999999996E-3</v>
      </c>
      <c r="H272" s="909"/>
      <c r="I272" s="825" t="s">
        <v>163</v>
      </c>
      <c r="J272" s="732"/>
      <c r="K272" s="732"/>
      <c r="L272" s="732"/>
      <c r="M272" s="719"/>
    </row>
    <row r="273" spans="1:13" s="51" customFormat="1" ht="66.75" customHeight="1" x14ac:dyDescent="0.3">
      <c r="A273" s="825">
        <v>2</v>
      </c>
      <c r="B273" s="885" t="str">
        <f>КДЦ3!A12</f>
        <v>Техническое обслуживание газового оборудования, дымоходов</v>
      </c>
      <c r="C273" s="885"/>
      <c r="D273" s="885"/>
      <c r="E273" s="885"/>
      <c r="F273" s="825" t="str">
        <f>КДЦ3!D12</f>
        <v>договор</v>
      </c>
      <c r="G273" s="909">
        <v>5.7999999999999996E-3</v>
      </c>
      <c r="H273" s="909"/>
      <c r="I273" s="825" t="s">
        <v>163</v>
      </c>
      <c r="J273" s="732"/>
      <c r="K273" s="732"/>
      <c r="L273" s="732"/>
      <c r="M273" s="719"/>
    </row>
    <row r="274" spans="1:13" s="51" customFormat="1" ht="96" customHeight="1" x14ac:dyDescent="0.3">
      <c r="A274" s="825">
        <v>3</v>
      </c>
      <c r="B274" s="885" t="str">
        <f>КДЦ3!A13</f>
        <v>Техническое обслуживание и регламентно-профилактический ремонт, в том числе на подготовку отопительной системы к зимнему сезону</v>
      </c>
      <c r="C274" s="885"/>
      <c r="D274" s="885"/>
      <c r="E274" s="885"/>
      <c r="F274" s="825" t="str">
        <f>КДЦ3!D13</f>
        <v>договор</v>
      </c>
      <c r="G274" s="909">
        <v>5.7999999999999996E-3</v>
      </c>
      <c r="H274" s="909"/>
      <c r="I274" s="825" t="s">
        <v>163</v>
      </c>
      <c r="J274" s="732"/>
      <c r="K274" s="732"/>
      <c r="L274" s="732"/>
      <c r="M274" s="719"/>
    </row>
    <row r="275" spans="1:13" s="51" customFormat="1" ht="70.5" customHeight="1" x14ac:dyDescent="0.3">
      <c r="A275" s="825">
        <v>4</v>
      </c>
      <c r="B275" s="885" t="str">
        <f>КДЦ3!A14</f>
        <v>Техническое обслуживание и регламентно-профилактический ремонт электрооборудования</v>
      </c>
      <c r="C275" s="885"/>
      <c r="D275" s="885"/>
      <c r="E275" s="885"/>
      <c r="F275" s="825" t="str">
        <f>КДЦ3!D14</f>
        <v>договор</v>
      </c>
      <c r="G275" s="909">
        <v>5.7999999999999996E-3</v>
      </c>
      <c r="H275" s="909"/>
      <c r="I275" s="825" t="s">
        <v>163</v>
      </c>
      <c r="J275" s="732"/>
      <c r="K275" s="732"/>
      <c r="L275" s="732"/>
      <c r="M275" s="719"/>
    </row>
    <row r="276" spans="1:13" s="51" customFormat="1" ht="40.5" customHeight="1" x14ac:dyDescent="0.3">
      <c r="A276" s="825">
        <v>5</v>
      </c>
      <c r="B276" s="885" t="str">
        <f>КДЦ3!A15</f>
        <v>Вывоз твердых бытовых отходов, утилизация отходов</v>
      </c>
      <c r="C276" s="885"/>
      <c r="D276" s="885"/>
      <c r="E276" s="885"/>
      <c r="F276" s="825" t="str">
        <f>КДЦ3!D15</f>
        <v>договор</v>
      </c>
      <c r="G276" s="909">
        <v>5.7999999999999996E-3</v>
      </c>
      <c r="H276" s="909"/>
      <c r="I276" s="825" t="s">
        <v>163</v>
      </c>
      <c r="J276" s="732"/>
      <c r="K276" s="732"/>
      <c r="L276" s="732"/>
      <c r="M276" s="719"/>
    </row>
    <row r="277" spans="1:13" s="51" customFormat="1" ht="21.75" customHeight="1" x14ac:dyDescent="0.3">
      <c r="A277" s="825"/>
      <c r="B277" s="885"/>
      <c r="C277" s="885"/>
      <c r="D277" s="885"/>
      <c r="E277" s="885"/>
      <c r="F277" s="825"/>
      <c r="G277" s="884"/>
      <c r="H277" s="884"/>
      <c r="I277" s="825"/>
      <c r="J277" s="732"/>
      <c r="K277" s="732"/>
      <c r="L277" s="732"/>
      <c r="M277" s="719"/>
    </row>
    <row r="278" spans="1:13" s="51" customFormat="1" x14ac:dyDescent="0.3">
      <c r="A278" s="825"/>
      <c r="B278" s="885"/>
      <c r="C278" s="885"/>
      <c r="D278" s="885"/>
      <c r="E278" s="885"/>
      <c r="F278" s="825"/>
      <c r="G278" s="884"/>
      <c r="H278" s="884"/>
      <c r="I278" s="825"/>
      <c r="J278" s="732"/>
      <c r="K278" s="732"/>
      <c r="L278" s="732"/>
      <c r="M278" s="719"/>
    </row>
    <row r="279" spans="1:13" s="51" customFormat="1" ht="34.5" customHeight="1" x14ac:dyDescent="0.3">
      <c r="A279" s="895" t="s">
        <v>22</v>
      </c>
      <c r="B279" s="895"/>
      <c r="C279" s="895"/>
      <c r="D279" s="895"/>
      <c r="E279" s="895"/>
      <c r="F279" s="895"/>
      <c r="G279" s="895"/>
      <c r="H279" s="895"/>
      <c r="I279" s="895"/>
      <c r="J279" s="732"/>
      <c r="K279" s="732"/>
      <c r="L279" s="732"/>
      <c r="M279" s="719"/>
    </row>
    <row r="280" spans="1:13" s="51" customFormat="1" x14ac:dyDescent="0.3">
      <c r="A280" s="825">
        <v>1</v>
      </c>
      <c r="B280" s="885" t="str">
        <f>КДЦ3!A23</f>
        <v>услуги связи</v>
      </c>
      <c r="C280" s="885"/>
      <c r="D280" s="885"/>
      <c r="E280" s="885"/>
      <c r="F280" s="825" t="str">
        <f>КДЦ3!D23</f>
        <v>мин.</v>
      </c>
      <c r="G280" s="908">
        <f>КДЦ3!H23</f>
        <v>23.148148148148149</v>
      </c>
      <c r="H280" s="908"/>
      <c r="I280" s="825" t="s">
        <v>163</v>
      </c>
      <c r="J280" s="732"/>
      <c r="K280" s="732"/>
      <c r="L280" s="732"/>
      <c r="M280" s="719"/>
    </row>
    <row r="281" spans="1:13" s="51" customFormat="1" x14ac:dyDescent="0.3">
      <c r="A281" s="825">
        <v>2</v>
      </c>
      <c r="B281" s="885" t="str">
        <f>КДЦ3!A24</f>
        <v>интернет</v>
      </c>
      <c r="C281" s="885"/>
      <c r="D281" s="885"/>
      <c r="E281" s="885"/>
      <c r="F281" s="825" t="str">
        <f>КДЦ3!D24</f>
        <v>Г.</v>
      </c>
      <c r="G281" s="908">
        <f>КДЦ3!H24</f>
        <v>5.6944444444444446</v>
      </c>
      <c r="H281" s="908"/>
      <c r="I281" s="825" t="s">
        <v>163</v>
      </c>
      <c r="J281" s="732"/>
      <c r="K281" s="732"/>
      <c r="L281" s="732"/>
      <c r="M281" s="719"/>
    </row>
    <row r="282" spans="1:13" s="51" customFormat="1" x14ac:dyDescent="0.3">
      <c r="A282" s="825"/>
      <c r="B282" s="884"/>
      <c r="C282" s="884"/>
      <c r="D282" s="884"/>
      <c r="E282" s="884"/>
      <c r="F282" s="825"/>
      <c r="G282" s="884"/>
      <c r="H282" s="884"/>
      <c r="I282" s="825"/>
      <c r="J282" s="732"/>
      <c r="K282" s="732"/>
      <c r="L282" s="732"/>
      <c r="M282" s="719"/>
    </row>
    <row r="283" spans="1:13" s="51" customFormat="1" ht="27.75" customHeight="1" x14ac:dyDescent="0.3">
      <c r="A283" s="895" t="s">
        <v>23</v>
      </c>
      <c r="B283" s="895"/>
      <c r="C283" s="895"/>
      <c r="D283" s="895"/>
      <c r="E283" s="895"/>
      <c r="F283" s="895"/>
      <c r="G283" s="895"/>
      <c r="H283" s="895"/>
      <c r="I283" s="895"/>
      <c r="J283" s="732"/>
      <c r="K283" s="732"/>
      <c r="L283" s="732"/>
      <c r="M283" s="719"/>
    </row>
    <row r="284" spans="1:13" s="51" customFormat="1" ht="65.25" customHeight="1" x14ac:dyDescent="0.3">
      <c r="A284" s="825">
        <v>1</v>
      </c>
      <c r="B284" s="885" t="str">
        <f>КДЦ3!A33</f>
        <v>Обучение персонала (электро, тепло, газовое хозяйство, пожарная безопасность, охрана труда и др.)</v>
      </c>
      <c r="C284" s="885"/>
      <c r="D284" s="885"/>
      <c r="E284" s="885"/>
      <c r="F284" s="825" t="str">
        <f>КДЦ3!I33</f>
        <v>чел.</v>
      </c>
      <c r="G284" s="883">
        <f>КДЦ3!H33</f>
        <v>4.17</v>
      </c>
      <c r="H284" s="883"/>
      <c r="I284" s="825" t="s">
        <v>163</v>
      </c>
      <c r="J284" s="732"/>
      <c r="K284" s="732"/>
      <c r="L284" s="732"/>
      <c r="M284" s="719"/>
    </row>
    <row r="285" spans="1:13" s="51" customFormat="1" ht="42.75" customHeight="1" x14ac:dyDescent="0.3">
      <c r="A285" s="825">
        <v>2</v>
      </c>
      <c r="B285" s="885" t="str">
        <f>КДЦ3!A34</f>
        <v>Обслуживание программных комплексов</v>
      </c>
      <c r="C285" s="885"/>
      <c r="D285" s="885"/>
      <c r="E285" s="885"/>
      <c r="F285" s="825" t="str">
        <f>КДЦ3!I34</f>
        <v>договор</v>
      </c>
      <c r="G285" s="909">
        <f>КДЦ3!H34</f>
        <v>5.8479532163742687E-3</v>
      </c>
      <c r="H285" s="909"/>
      <c r="I285" s="825" t="s">
        <v>163</v>
      </c>
      <c r="J285" s="732"/>
      <c r="K285" s="732"/>
      <c r="L285" s="732"/>
      <c r="M285" s="719"/>
    </row>
    <row r="286" spans="1:13" s="51" customFormat="1" x14ac:dyDescent="0.3">
      <c r="A286" s="825"/>
      <c r="B286" s="884"/>
      <c r="C286" s="884"/>
      <c r="D286" s="884"/>
      <c r="E286" s="884"/>
      <c r="F286" s="825"/>
      <c r="G286" s="883"/>
      <c r="H286" s="883"/>
      <c r="I286" s="825"/>
      <c r="J286" s="732"/>
      <c r="K286" s="732"/>
      <c r="L286" s="732"/>
      <c r="M286" s="719"/>
    </row>
    <row r="287" spans="1:13" s="51" customFormat="1" x14ac:dyDescent="0.3">
      <c r="A287" s="719"/>
      <c r="B287" s="719"/>
      <c r="C287" s="719"/>
      <c r="D287" s="719"/>
      <c r="E287" s="719"/>
      <c r="F287" s="719"/>
      <c r="G287" s="719"/>
      <c r="H287" s="719"/>
      <c r="I287" s="719"/>
      <c r="J287" s="719"/>
      <c r="K287" s="719"/>
      <c r="L287" s="719"/>
      <c r="M287" s="719"/>
    </row>
    <row r="288" spans="1:13" s="51" customFormat="1" x14ac:dyDescent="0.3">
      <c r="A288" s="719"/>
      <c r="B288" s="719"/>
      <c r="C288" s="719"/>
      <c r="D288" s="719"/>
      <c r="E288" s="719"/>
      <c r="F288" s="719"/>
      <c r="G288" s="719"/>
      <c r="H288" s="719"/>
      <c r="I288" s="719"/>
      <c r="J288" s="719"/>
      <c r="K288" s="719"/>
      <c r="L288" s="719"/>
      <c r="M288" s="719"/>
    </row>
    <row r="289" spans="1:13" s="51" customFormat="1" x14ac:dyDescent="0.3">
      <c r="A289" s="901" t="s">
        <v>4</v>
      </c>
      <c r="B289" s="901"/>
      <c r="C289" s="901"/>
      <c r="D289" s="901"/>
      <c r="E289" s="901"/>
      <c r="F289" s="901"/>
      <c r="G289" s="901"/>
      <c r="H289" s="901"/>
      <c r="I289" s="901"/>
      <c r="J289" s="732"/>
      <c r="K289" s="732"/>
      <c r="L289" s="732"/>
      <c r="M289" s="719"/>
    </row>
    <row r="290" spans="1:13" s="51" customFormat="1" x14ac:dyDescent="0.3">
      <c r="A290" s="901" t="s">
        <v>5</v>
      </c>
      <c r="B290" s="901"/>
      <c r="C290" s="901"/>
      <c r="D290" s="901"/>
      <c r="E290" s="901"/>
      <c r="F290" s="901"/>
      <c r="G290" s="901"/>
      <c r="H290" s="901"/>
      <c r="I290" s="901"/>
      <c r="J290" s="732"/>
      <c r="K290" s="732"/>
      <c r="L290" s="732"/>
      <c r="M290" s="719"/>
    </row>
    <row r="291" spans="1:13" s="51" customFormat="1" x14ac:dyDescent="0.3">
      <c r="A291" s="901" t="s">
        <v>6</v>
      </c>
      <c r="B291" s="901"/>
      <c r="C291" s="901"/>
      <c r="D291" s="901"/>
      <c r="E291" s="901"/>
      <c r="F291" s="901"/>
      <c r="G291" s="901"/>
      <c r="H291" s="901"/>
      <c r="I291" s="901"/>
      <c r="J291" s="732"/>
      <c r="K291" s="732"/>
      <c r="L291" s="732"/>
      <c r="M291" s="719"/>
    </row>
    <row r="292" spans="1:13" s="51" customFormat="1" x14ac:dyDescent="0.3">
      <c r="A292" s="910" t="s">
        <v>287</v>
      </c>
      <c r="B292" s="901"/>
      <c r="C292" s="901"/>
      <c r="D292" s="901"/>
      <c r="E292" s="901"/>
      <c r="F292" s="901"/>
      <c r="G292" s="901"/>
      <c r="H292" s="901"/>
      <c r="I292" s="901"/>
      <c r="J292" s="732"/>
      <c r="K292" s="732"/>
      <c r="L292" s="732"/>
      <c r="M292" s="719"/>
    </row>
    <row r="293" spans="1:13" s="51" customFormat="1" x14ac:dyDescent="0.3">
      <c r="A293" s="903" t="s">
        <v>305</v>
      </c>
      <c r="B293" s="903"/>
      <c r="C293" s="903"/>
      <c r="D293" s="903"/>
      <c r="E293" s="903"/>
      <c r="F293" s="903"/>
      <c r="G293" s="903"/>
      <c r="H293" s="903"/>
      <c r="I293" s="903"/>
      <c r="J293" s="732"/>
      <c r="K293" s="732"/>
      <c r="L293" s="732"/>
      <c r="M293" s="719"/>
    </row>
    <row r="294" spans="1:13" s="51" customFormat="1" x14ac:dyDescent="0.3">
      <c r="A294" s="905" t="s">
        <v>296</v>
      </c>
      <c r="B294" s="905"/>
      <c r="C294" s="905"/>
      <c r="D294" s="905"/>
      <c r="E294" s="905"/>
      <c r="F294" s="905"/>
      <c r="G294" s="905"/>
      <c r="H294" s="905"/>
      <c r="I294" s="905"/>
      <c r="J294" s="732"/>
      <c r="K294" s="904" t="s">
        <v>122</v>
      </c>
      <c r="L294" s="904"/>
      <c r="M294" s="904"/>
    </row>
    <row r="295" spans="1:13" s="51" customFormat="1" ht="10.5" customHeight="1" x14ac:dyDescent="0.3">
      <c r="A295" s="719"/>
      <c r="B295" s="719"/>
      <c r="C295" s="719"/>
      <c r="D295" s="719"/>
      <c r="E295" s="719"/>
      <c r="F295" s="719"/>
      <c r="G295" s="719"/>
      <c r="H295" s="719"/>
      <c r="I295" s="719"/>
      <c r="J295" s="732"/>
      <c r="K295" s="732"/>
      <c r="L295" s="732"/>
      <c r="M295" s="719"/>
    </row>
    <row r="296" spans="1:13" s="51" customFormat="1" ht="75" x14ac:dyDescent="0.3">
      <c r="A296" s="720" t="s">
        <v>9</v>
      </c>
      <c r="B296" s="883" t="s">
        <v>10</v>
      </c>
      <c r="C296" s="883"/>
      <c r="D296" s="883"/>
      <c r="E296" s="883"/>
      <c r="F296" s="826" t="s">
        <v>11</v>
      </c>
      <c r="G296" s="883" t="s">
        <v>12</v>
      </c>
      <c r="H296" s="883"/>
      <c r="I296" s="826" t="s">
        <v>13</v>
      </c>
      <c r="J296" s="732"/>
      <c r="K296" s="732"/>
      <c r="L296" s="732"/>
      <c r="M296" s="719"/>
    </row>
    <row r="297" spans="1:13" s="51" customFormat="1" x14ac:dyDescent="0.3">
      <c r="A297" s="825">
        <v>1</v>
      </c>
      <c r="B297" s="884">
        <v>2</v>
      </c>
      <c r="C297" s="884"/>
      <c r="D297" s="884"/>
      <c r="E297" s="884"/>
      <c r="F297" s="825">
        <v>3</v>
      </c>
      <c r="G297" s="884">
        <v>4</v>
      </c>
      <c r="H297" s="884"/>
      <c r="I297" s="825">
        <v>5</v>
      </c>
      <c r="J297" s="732"/>
      <c r="K297" s="732"/>
      <c r="L297" s="732"/>
      <c r="M297" s="719"/>
    </row>
    <row r="298" spans="1:13" s="51" customFormat="1" x14ac:dyDescent="0.3">
      <c r="A298" s="900" t="s">
        <v>18</v>
      </c>
      <c r="B298" s="900"/>
      <c r="C298" s="900"/>
      <c r="D298" s="900"/>
      <c r="E298" s="900"/>
      <c r="F298" s="900"/>
      <c r="G298" s="900"/>
      <c r="H298" s="900"/>
      <c r="I298" s="900"/>
      <c r="J298" s="732"/>
      <c r="K298" s="732"/>
      <c r="L298" s="732"/>
      <c r="M298" s="719"/>
    </row>
    <row r="299" spans="1:13" s="51" customFormat="1" x14ac:dyDescent="0.3">
      <c r="A299" s="895" t="s">
        <v>14</v>
      </c>
      <c r="B299" s="895"/>
      <c r="C299" s="895"/>
      <c r="D299" s="895"/>
      <c r="E299" s="895"/>
      <c r="F299" s="895"/>
      <c r="G299" s="895"/>
      <c r="H299" s="895"/>
      <c r="I299" s="895"/>
      <c r="J299" s="732"/>
      <c r="K299" s="732"/>
      <c r="L299" s="732"/>
      <c r="M299" s="719"/>
    </row>
    <row r="300" spans="1:13" s="51" customFormat="1" ht="42.75" customHeight="1" x14ac:dyDescent="0.3">
      <c r="A300" s="825">
        <v>1</v>
      </c>
      <c r="B300" s="885" t="str">
        <f>КДЦ!B5</f>
        <v>менеджер по культурно-массовому досугу 2 категории</v>
      </c>
      <c r="C300" s="885"/>
      <c r="D300" s="885"/>
      <c r="E300" s="885"/>
      <c r="F300" s="825" t="s">
        <v>162</v>
      </c>
      <c r="G300" s="879">
        <f>КДЦ!N5</f>
        <v>32.799999999999997</v>
      </c>
      <c r="H300" s="879"/>
      <c r="I300" s="825" t="s">
        <v>163</v>
      </c>
      <c r="J300" s="732"/>
      <c r="K300" s="732"/>
      <c r="L300" s="732"/>
      <c r="M300" s="725"/>
    </row>
    <row r="301" spans="1:13" s="51" customFormat="1" ht="39.75" customHeight="1" x14ac:dyDescent="0.3">
      <c r="A301" s="825">
        <v>2</v>
      </c>
      <c r="B301" s="890" t="str">
        <f>КДЦ!B11</f>
        <v>Культ организатор 1-й категории</v>
      </c>
      <c r="C301" s="891"/>
      <c r="D301" s="891"/>
      <c r="E301" s="892"/>
      <c r="F301" s="825" t="s">
        <v>162</v>
      </c>
      <c r="G301" s="893">
        <f>КДЦ!N11</f>
        <v>5.6</v>
      </c>
      <c r="H301" s="894"/>
      <c r="I301" s="825" t="s">
        <v>163</v>
      </c>
      <c r="J301" s="732"/>
      <c r="K301" s="732"/>
      <c r="L301" s="732"/>
      <c r="M301" s="725"/>
    </row>
    <row r="302" spans="1:13" s="51" customFormat="1" ht="43.5" customHeight="1" x14ac:dyDescent="0.3">
      <c r="A302" s="825">
        <v>3</v>
      </c>
      <c r="B302" s="890" t="str">
        <f>КДЦ!B12</f>
        <v>специалист по связи с общественностью</v>
      </c>
      <c r="C302" s="891"/>
      <c r="D302" s="891"/>
      <c r="E302" s="892"/>
      <c r="F302" s="825" t="s">
        <v>162</v>
      </c>
      <c r="G302" s="893">
        <f>КДЦ!N12</f>
        <v>32.799999999999997</v>
      </c>
      <c r="H302" s="894"/>
      <c r="I302" s="825" t="s">
        <v>163</v>
      </c>
      <c r="J302" s="732"/>
      <c r="K302" s="732"/>
      <c r="L302" s="732"/>
      <c r="M302" s="725"/>
    </row>
    <row r="303" spans="1:13" s="51" customFormat="1" x14ac:dyDescent="0.3">
      <c r="A303" s="825"/>
      <c r="B303" s="884"/>
      <c r="C303" s="884"/>
      <c r="D303" s="884"/>
      <c r="E303" s="884"/>
      <c r="F303" s="825"/>
      <c r="G303" s="884"/>
      <c r="H303" s="884"/>
      <c r="I303" s="825"/>
      <c r="J303" s="732"/>
      <c r="K303" s="732"/>
      <c r="L303" s="732"/>
      <c r="M303" s="725"/>
    </row>
    <row r="304" spans="1:13" s="51" customFormat="1" ht="64.5" customHeight="1" x14ac:dyDescent="0.3">
      <c r="A304" s="895" t="s">
        <v>15</v>
      </c>
      <c r="B304" s="895"/>
      <c r="C304" s="895"/>
      <c r="D304" s="895"/>
      <c r="E304" s="895"/>
      <c r="F304" s="895"/>
      <c r="G304" s="895"/>
      <c r="H304" s="895"/>
      <c r="I304" s="895"/>
      <c r="J304" s="732"/>
      <c r="K304" s="732"/>
      <c r="L304" s="732"/>
      <c r="M304" s="725"/>
    </row>
    <row r="305" spans="1:13" s="51" customFormat="1" x14ac:dyDescent="0.3">
      <c r="A305" s="825">
        <v>1</v>
      </c>
      <c r="B305" s="884" t="str">
        <f>'КДЦ 2'!A11</f>
        <v>ГСМ</v>
      </c>
      <c r="C305" s="884"/>
      <c r="D305" s="884"/>
      <c r="E305" s="884"/>
      <c r="F305" s="825" t="str">
        <f>'КДЦ 2'!V11</f>
        <v>Л.</v>
      </c>
      <c r="G305" s="883">
        <f>'КДЦ 2'!M11</f>
        <v>0.6</v>
      </c>
      <c r="H305" s="883"/>
      <c r="I305" s="825">
        <v>1</v>
      </c>
      <c r="J305" s="732"/>
      <c r="K305" s="732"/>
      <c r="L305" s="732"/>
      <c r="M305" s="725"/>
    </row>
    <row r="306" spans="1:13" s="51" customFormat="1" x14ac:dyDescent="0.3">
      <c r="A306" s="825"/>
      <c r="B306" s="884"/>
      <c r="C306" s="884"/>
      <c r="D306" s="884"/>
      <c r="E306" s="884"/>
      <c r="F306" s="825"/>
      <c r="G306" s="884"/>
      <c r="H306" s="884"/>
      <c r="I306" s="825"/>
      <c r="J306" s="732"/>
      <c r="K306" s="732"/>
      <c r="L306" s="732"/>
      <c r="M306" s="725"/>
    </row>
    <row r="307" spans="1:13" s="51" customFormat="1" ht="60.75" customHeight="1" x14ac:dyDescent="0.3">
      <c r="A307" s="895" t="s">
        <v>16</v>
      </c>
      <c r="B307" s="895"/>
      <c r="C307" s="895"/>
      <c r="D307" s="895"/>
      <c r="E307" s="895"/>
      <c r="F307" s="895"/>
      <c r="G307" s="895"/>
      <c r="H307" s="895"/>
      <c r="I307" s="895"/>
      <c r="J307" s="732"/>
      <c r="K307" s="732"/>
      <c r="L307" s="732"/>
      <c r="M307" s="725"/>
    </row>
    <row r="308" spans="1:13" s="51" customFormat="1" ht="20.25" customHeight="1" x14ac:dyDescent="0.3">
      <c r="A308" s="825"/>
      <c r="B308" s="884"/>
      <c r="C308" s="884"/>
      <c r="D308" s="884"/>
      <c r="E308" s="884"/>
      <c r="F308" s="825"/>
      <c r="G308" s="884"/>
      <c r="H308" s="884"/>
      <c r="I308" s="825"/>
      <c r="J308" s="732"/>
      <c r="K308" s="732"/>
      <c r="L308" s="732"/>
      <c r="M308" s="725"/>
    </row>
    <row r="309" spans="1:13" s="51" customFormat="1" x14ac:dyDescent="0.3">
      <c r="A309" s="899" t="s">
        <v>17</v>
      </c>
      <c r="B309" s="883"/>
      <c r="C309" s="883"/>
      <c r="D309" s="883"/>
      <c r="E309" s="883"/>
      <c r="F309" s="883"/>
      <c r="G309" s="883"/>
      <c r="H309" s="883"/>
      <c r="I309" s="883"/>
      <c r="J309" s="732"/>
      <c r="K309" s="732"/>
      <c r="L309" s="732"/>
      <c r="M309" s="725"/>
    </row>
    <row r="310" spans="1:13" s="51" customFormat="1" x14ac:dyDescent="0.3">
      <c r="A310" s="896" t="s">
        <v>19</v>
      </c>
      <c r="B310" s="897"/>
      <c r="C310" s="897"/>
      <c r="D310" s="897"/>
      <c r="E310" s="897"/>
      <c r="F310" s="897"/>
      <c r="G310" s="897"/>
      <c r="H310" s="897"/>
      <c r="I310" s="898"/>
      <c r="J310" s="732"/>
      <c r="K310" s="732"/>
      <c r="L310" s="732"/>
      <c r="M310" s="725"/>
    </row>
    <row r="311" spans="1:13" s="51" customFormat="1" ht="42" customHeight="1" x14ac:dyDescent="0.3">
      <c r="A311" s="825"/>
      <c r="B311" s="885" t="str">
        <f>КДЦ3!A27</f>
        <v>Административно-управленческий персонал</v>
      </c>
      <c r="C311" s="885"/>
      <c r="D311" s="885"/>
      <c r="E311" s="885"/>
      <c r="F311" s="825" t="s">
        <v>162</v>
      </c>
      <c r="G311" s="909">
        <f>КДЦ3!M27</f>
        <v>8.8888888888888878E-2</v>
      </c>
      <c r="H311" s="909"/>
      <c r="I311" s="825" t="s">
        <v>163</v>
      </c>
      <c r="J311" s="732"/>
      <c r="K311" s="732"/>
      <c r="L311" s="732"/>
      <c r="M311" s="725"/>
    </row>
    <row r="312" spans="1:13" s="51" customFormat="1" ht="36" customHeight="1" x14ac:dyDescent="0.3">
      <c r="A312" s="825"/>
      <c r="B312" s="885" t="str">
        <f>КДЦ3!A28</f>
        <v>Прочий персонал</v>
      </c>
      <c r="C312" s="885"/>
      <c r="D312" s="885"/>
      <c r="E312" s="885"/>
      <c r="F312" s="825" t="s">
        <v>162</v>
      </c>
      <c r="G312" s="909">
        <f>КДЦ3!M28</f>
        <v>0.47015873015873016</v>
      </c>
      <c r="H312" s="909"/>
      <c r="I312" s="825" t="s">
        <v>163</v>
      </c>
      <c r="J312" s="732"/>
      <c r="K312" s="732"/>
      <c r="L312" s="732"/>
      <c r="M312" s="725"/>
    </row>
    <row r="313" spans="1:13" s="51" customFormat="1" x14ac:dyDescent="0.3">
      <c r="A313" s="825"/>
      <c r="B313" s="884"/>
      <c r="C313" s="884"/>
      <c r="D313" s="884"/>
      <c r="E313" s="884"/>
      <c r="F313" s="825"/>
      <c r="G313" s="884"/>
      <c r="H313" s="884"/>
      <c r="I313" s="825"/>
      <c r="J313" s="732"/>
      <c r="K313" s="732"/>
      <c r="L313" s="732"/>
      <c r="M313" s="719"/>
    </row>
    <row r="314" spans="1:13" s="51" customFormat="1" ht="32.25" customHeight="1" x14ac:dyDescent="0.3">
      <c r="A314" s="896" t="s">
        <v>20</v>
      </c>
      <c r="B314" s="897"/>
      <c r="C314" s="897"/>
      <c r="D314" s="897"/>
      <c r="E314" s="897"/>
      <c r="F314" s="897"/>
      <c r="G314" s="897"/>
      <c r="H314" s="897"/>
      <c r="I314" s="898"/>
      <c r="J314" s="732"/>
      <c r="K314" s="732"/>
      <c r="L314" s="732"/>
      <c r="M314" s="719"/>
    </row>
    <row r="315" spans="1:13" s="51" customFormat="1" ht="27" customHeight="1" x14ac:dyDescent="0.3">
      <c r="A315" s="825">
        <v>1</v>
      </c>
      <c r="B315" s="885" t="str">
        <f>КДЦ3!A6</f>
        <v>оплата потребления газа</v>
      </c>
      <c r="C315" s="885"/>
      <c r="D315" s="885"/>
      <c r="E315" s="885"/>
      <c r="F315" s="826" t="str">
        <f>КДЦ3!N6</f>
        <v>м3</v>
      </c>
      <c r="G315" s="908">
        <f>КДЦ3!M6</f>
        <v>0.63674415809259044</v>
      </c>
      <c r="H315" s="908"/>
      <c r="I315" s="825" t="s">
        <v>163</v>
      </c>
      <c r="J315" s="732"/>
      <c r="K315" s="732"/>
      <c r="L315" s="732"/>
      <c r="M315" s="719"/>
    </row>
    <row r="316" spans="1:13" s="51" customFormat="1" ht="42.75" customHeight="1" x14ac:dyDescent="0.3">
      <c r="A316" s="825">
        <v>2</v>
      </c>
      <c r="B316" s="885" t="str">
        <f>КДЦ3!A7</f>
        <v>оплата потребления электрической энергии</v>
      </c>
      <c r="C316" s="885"/>
      <c r="D316" s="885"/>
      <c r="E316" s="885"/>
      <c r="F316" s="826" t="str">
        <f>КДЦ3!N7</f>
        <v>кват/ч</v>
      </c>
      <c r="G316" s="908">
        <f>КДЦ3!M7</f>
        <v>429.55326460481103</v>
      </c>
      <c r="H316" s="908"/>
      <c r="I316" s="825" t="s">
        <v>163</v>
      </c>
      <c r="J316" s="732"/>
      <c r="K316" s="732"/>
      <c r="L316" s="732"/>
      <c r="M316" s="719"/>
    </row>
    <row r="317" spans="1:13" s="51" customFormat="1" ht="43.5" customHeight="1" x14ac:dyDescent="0.3">
      <c r="A317" s="825">
        <v>3</v>
      </c>
      <c r="B317" s="885" t="str">
        <f>КДЦ3!A8</f>
        <v>оплата потребления водоснабжения</v>
      </c>
      <c r="C317" s="885"/>
      <c r="D317" s="885"/>
      <c r="E317" s="885"/>
      <c r="F317" s="826" t="str">
        <f>КДЦ3!N8</f>
        <v>м3</v>
      </c>
      <c r="G317" s="908">
        <f>КДЦ3!M8</f>
        <v>2.7753493470990658</v>
      </c>
      <c r="H317" s="908"/>
      <c r="I317" s="825" t="s">
        <v>163</v>
      </c>
      <c r="J317" s="732"/>
      <c r="K317" s="732"/>
      <c r="L317" s="732"/>
      <c r="M317" s="719"/>
    </row>
    <row r="318" spans="1:13" s="51" customFormat="1" x14ac:dyDescent="0.3">
      <c r="A318" s="825"/>
      <c r="B318" s="884"/>
      <c r="C318" s="884"/>
      <c r="D318" s="884"/>
      <c r="E318" s="884"/>
      <c r="F318" s="825"/>
      <c r="G318" s="884"/>
      <c r="H318" s="884"/>
      <c r="I318" s="825"/>
      <c r="J318" s="732"/>
      <c r="K318" s="732"/>
      <c r="L318" s="732"/>
      <c r="M318" s="719"/>
    </row>
    <row r="319" spans="1:13" s="51" customFormat="1" ht="39.75" customHeight="1" x14ac:dyDescent="0.3">
      <c r="A319" s="900" t="s">
        <v>21</v>
      </c>
      <c r="B319" s="895"/>
      <c r="C319" s="895"/>
      <c r="D319" s="895"/>
      <c r="E319" s="895"/>
      <c r="F319" s="895"/>
      <c r="G319" s="895"/>
      <c r="H319" s="895"/>
      <c r="I319" s="895"/>
      <c r="J319" s="732"/>
      <c r="K319" s="732"/>
      <c r="L319" s="732"/>
      <c r="M319" s="719"/>
    </row>
    <row r="320" spans="1:13" s="51" customFormat="1" ht="37.5" customHeight="1" x14ac:dyDescent="0.3">
      <c r="A320" s="825">
        <v>1</v>
      </c>
      <c r="B320" s="885" t="str">
        <f>КДЦ3!A11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320" s="885"/>
      <c r="D320" s="885"/>
      <c r="E320" s="885"/>
      <c r="F320" s="825" t="str">
        <f>КДЦ3!N11</f>
        <v>договор</v>
      </c>
      <c r="G320" s="883">
        <f>'нормативные 3'!G323:H323</f>
        <v>3.3333333333333333E-2</v>
      </c>
      <c r="H320" s="883"/>
      <c r="I320" s="825" t="s">
        <v>163</v>
      </c>
      <c r="J320" s="732"/>
      <c r="K320" s="732"/>
      <c r="L320" s="732"/>
      <c r="M320" s="719"/>
    </row>
    <row r="321" spans="1:13" s="51" customFormat="1" ht="56.25" customHeight="1" x14ac:dyDescent="0.3">
      <c r="A321" s="825">
        <v>2</v>
      </c>
      <c r="B321" s="885" t="str">
        <f>КДЦ3!A12</f>
        <v>Техническое обслуживание газового оборудования, дымоходов</v>
      </c>
      <c r="C321" s="885"/>
      <c r="D321" s="885"/>
      <c r="E321" s="885"/>
      <c r="F321" s="825" t="str">
        <f>КДЦ3!N12</f>
        <v>договор</v>
      </c>
      <c r="G321" s="883">
        <f>'нормативные 3'!G324:H324</f>
        <v>3.3333333333333333E-2</v>
      </c>
      <c r="H321" s="883"/>
      <c r="I321" s="825" t="s">
        <v>163</v>
      </c>
      <c r="J321" s="732"/>
      <c r="K321" s="732"/>
      <c r="L321" s="732"/>
      <c r="M321" s="719"/>
    </row>
    <row r="322" spans="1:13" s="51" customFormat="1" ht="84" customHeight="1" x14ac:dyDescent="0.3">
      <c r="A322" s="825">
        <v>3</v>
      </c>
      <c r="B322" s="885" t="str">
        <f>КДЦ3!A13</f>
        <v>Техническое обслуживание и регламентно-профилактический ремонт, в том числе на подготовку отопительной системы к зимнему сезону</v>
      </c>
      <c r="C322" s="885"/>
      <c r="D322" s="885"/>
      <c r="E322" s="885"/>
      <c r="F322" s="825" t="str">
        <f>КДЦ3!N13</f>
        <v>договор</v>
      </c>
      <c r="G322" s="883">
        <f>'нормативные 3'!G325:H325</f>
        <v>3.3333333333333333E-2</v>
      </c>
      <c r="H322" s="883"/>
      <c r="I322" s="825" t="s">
        <v>163</v>
      </c>
      <c r="J322" s="732"/>
      <c r="K322" s="732"/>
      <c r="L322" s="732"/>
      <c r="M322" s="719"/>
    </row>
    <row r="323" spans="1:13" s="51" customFormat="1" ht="58.5" customHeight="1" x14ac:dyDescent="0.3">
      <c r="A323" s="825">
        <v>4</v>
      </c>
      <c r="B323" s="885" t="str">
        <f>КДЦ3!A14</f>
        <v>Техническое обслуживание и регламентно-профилактический ремонт электрооборудования</v>
      </c>
      <c r="C323" s="885"/>
      <c r="D323" s="885"/>
      <c r="E323" s="885"/>
      <c r="F323" s="825" t="str">
        <f>КДЦ3!N14</f>
        <v>договор</v>
      </c>
      <c r="G323" s="883">
        <f>'нормативные 3'!G326:H326</f>
        <v>3.3333333333333333E-2</v>
      </c>
      <c r="H323" s="883"/>
      <c r="I323" s="825" t="s">
        <v>163</v>
      </c>
      <c r="J323" s="732"/>
      <c r="K323" s="732"/>
      <c r="L323" s="732"/>
      <c r="M323" s="719"/>
    </row>
    <row r="324" spans="1:13" s="51" customFormat="1" ht="42" customHeight="1" x14ac:dyDescent="0.3">
      <c r="A324" s="825">
        <v>5</v>
      </c>
      <c r="B324" s="885" t="str">
        <f>КДЦ3!A15</f>
        <v>Вывоз твердых бытовых отходов, утилизация отходов</v>
      </c>
      <c r="C324" s="885"/>
      <c r="D324" s="885"/>
      <c r="E324" s="885"/>
      <c r="F324" s="825" t="str">
        <f>КДЦ3!N15</f>
        <v>договор</v>
      </c>
      <c r="G324" s="883">
        <f>'нормативные 3'!G327:H327</f>
        <v>3.3333333333333333E-2</v>
      </c>
      <c r="H324" s="883"/>
      <c r="I324" s="825" t="s">
        <v>163</v>
      </c>
      <c r="J324" s="732"/>
      <c r="K324" s="732"/>
      <c r="L324" s="732"/>
      <c r="M324" s="719"/>
    </row>
    <row r="325" spans="1:13" s="51" customFormat="1" x14ac:dyDescent="0.3">
      <c r="A325" s="825"/>
      <c r="B325" s="884"/>
      <c r="C325" s="884"/>
      <c r="D325" s="884"/>
      <c r="E325" s="884"/>
      <c r="F325" s="825"/>
      <c r="G325" s="884"/>
      <c r="H325" s="884"/>
      <c r="I325" s="825"/>
      <c r="J325" s="732"/>
      <c r="K325" s="732"/>
      <c r="L325" s="732"/>
      <c r="M325" s="719"/>
    </row>
    <row r="326" spans="1:13" s="51" customFormat="1" ht="24" customHeight="1" x14ac:dyDescent="0.3">
      <c r="A326" s="895" t="s">
        <v>22</v>
      </c>
      <c r="B326" s="895"/>
      <c r="C326" s="895"/>
      <c r="D326" s="895"/>
      <c r="E326" s="895"/>
      <c r="F326" s="895"/>
      <c r="G326" s="895"/>
      <c r="H326" s="895"/>
      <c r="I326" s="895"/>
      <c r="J326" s="732"/>
      <c r="K326" s="732"/>
      <c r="L326" s="732"/>
      <c r="M326" s="719"/>
    </row>
    <row r="327" spans="1:13" s="51" customFormat="1" x14ac:dyDescent="0.3">
      <c r="A327" s="825">
        <v>1</v>
      </c>
      <c r="B327" s="885" t="str">
        <f>КДЦ3!A23</f>
        <v>услуги связи</v>
      </c>
      <c r="C327" s="885"/>
      <c r="D327" s="885"/>
      <c r="E327" s="885"/>
      <c r="F327" s="825" t="str">
        <f>КДЦ3!N23</f>
        <v>мин.</v>
      </c>
      <c r="G327" s="908">
        <f>КДЦ3!M23</f>
        <v>231.48148148148138</v>
      </c>
      <c r="H327" s="908"/>
      <c r="I327" s="825" t="s">
        <v>163</v>
      </c>
      <c r="J327" s="732"/>
      <c r="K327" s="732"/>
      <c r="L327" s="732"/>
      <c r="M327" s="719"/>
    </row>
    <row r="328" spans="1:13" s="51" customFormat="1" x14ac:dyDescent="0.3">
      <c r="A328" s="825">
        <v>2</v>
      </c>
      <c r="B328" s="885" t="str">
        <f>КДЦ3!A24</f>
        <v>интернет</v>
      </c>
      <c r="C328" s="885"/>
      <c r="D328" s="885"/>
      <c r="E328" s="885"/>
      <c r="F328" s="825" t="str">
        <f>КДЦ3!N24</f>
        <v>Г.</v>
      </c>
      <c r="G328" s="908">
        <f>КДЦ3!M24</f>
        <v>56.944444444444471</v>
      </c>
      <c r="H328" s="908"/>
      <c r="I328" s="825" t="s">
        <v>163</v>
      </c>
      <c r="J328" s="732"/>
      <c r="K328" s="732"/>
      <c r="L328" s="732"/>
      <c r="M328" s="719"/>
    </row>
    <row r="329" spans="1:13" s="51" customFormat="1" x14ac:dyDescent="0.3">
      <c r="A329" s="825"/>
      <c r="B329" s="884"/>
      <c r="C329" s="884"/>
      <c r="D329" s="884"/>
      <c r="E329" s="884"/>
      <c r="F329" s="825"/>
      <c r="G329" s="884"/>
      <c r="H329" s="884"/>
      <c r="I329" s="825"/>
      <c r="J329" s="732"/>
      <c r="K329" s="732"/>
      <c r="L329" s="732"/>
      <c r="M329" s="719"/>
    </row>
    <row r="330" spans="1:13" s="51" customFormat="1" ht="27" customHeight="1" x14ac:dyDescent="0.3">
      <c r="A330" s="895" t="s">
        <v>23</v>
      </c>
      <c r="B330" s="895"/>
      <c r="C330" s="895"/>
      <c r="D330" s="895"/>
      <c r="E330" s="895"/>
      <c r="F330" s="895"/>
      <c r="G330" s="895"/>
      <c r="H330" s="895"/>
      <c r="I330" s="895"/>
      <c r="J330" s="732"/>
      <c r="K330" s="732"/>
      <c r="L330" s="732"/>
      <c r="M330" s="719"/>
    </row>
    <row r="331" spans="1:13" s="51" customFormat="1" ht="66.75" customHeight="1" x14ac:dyDescent="0.3">
      <c r="A331" s="825"/>
      <c r="B331" s="885" t="str">
        <f>КДЦ3!A33</f>
        <v>Обучение персонала (электро, тепло, газовое хозяйство, пожарная безопасность, охрана труда и др.)</v>
      </c>
      <c r="C331" s="885"/>
      <c r="D331" s="885"/>
      <c r="E331" s="885"/>
      <c r="F331" s="825" t="str">
        <f>КДЦ3!N33</f>
        <v>чел.</v>
      </c>
      <c r="G331" s="906">
        <f>КДЦ3!M33</f>
        <v>7.94</v>
      </c>
      <c r="H331" s="906"/>
      <c r="I331" s="825" t="s">
        <v>163</v>
      </c>
      <c r="J331" s="732"/>
      <c r="K331" s="732"/>
      <c r="L331" s="732"/>
      <c r="M331" s="719"/>
    </row>
    <row r="332" spans="1:13" s="51" customFormat="1" ht="32.25" customHeight="1" x14ac:dyDescent="0.3">
      <c r="A332" s="825"/>
      <c r="B332" s="885" t="str">
        <f>КДЦ3!A34</f>
        <v>Обслуживание программных комплексов</v>
      </c>
      <c r="C332" s="885"/>
      <c r="D332" s="885"/>
      <c r="E332" s="885"/>
      <c r="F332" s="825" t="str">
        <f>КДЦ3!N34</f>
        <v>договор</v>
      </c>
      <c r="G332" s="907">
        <v>0.02</v>
      </c>
      <c r="H332" s="907"/>
      <c r="I332" s="825" t="s">
        <v>163</v>
      </c>
      <c r="J332" s="732"/>
      <c r="K332" s="732"/>
      <c r="L332" s="732"/>
      <c r="M332" s="719"/>
    </row>
    <row r="333" spans="1:13" s="51" customFormat="1" x14ac:dyDescent="0.3">
      <c r="A333" s="825"/>
      <c r="B333" s="884"/>
      <c r="C333" s="884"/>
      <c r="D333" s="884"/>
      <c r="E333" s="884"/>
      <c r="F333" s="825"/>
      <c r="G333" s="884"/>
      <c r="H333" s="884"/>
      <c r="I333" s="825"/>
      <c r="J333" s="732"/>
      <c r="K333" s="732"/>
      <c r="L333" s="732"/>
      <c r="M333" s="719"/>
    </row>
    <row r="334" spans="1:13" s="51" customFormat="1" x14ac:dyDescent="0.3">
      <c r="A334" s="719"/>
      <c r="B334" s="719"/>
      <c r="C334" s="719"/>
      <c r="D334" s="719"/>
      <c r="E334" s="719"/>
      <c r="F334" s="719"/>
      <c r="G334" s="719"/>
      <c r="H334" s="719"/>
      <c r="I334" s="719"/>
      <c r="J334" s="719"/>
      <c r="K334" s="719"/>
      <c r="L334" s="719"/>
      <c r="M334" s="719"/>
    </row>
    <row r="335" spans="1:13" s="51" customFormat="1" x14ac:dyDescent="0.3">
      <c r="A335" s="719"/>
      <c r="B335" s="719"/>
      <c r="C335" s="719"/>
      <c r="D335" s="719"/>
      <c r="E335" s="719"/>
      <c r="F335" s="719"/>
      <c r="G335" s="719"/>
      <c r="H335" s="719"/>
      <c r="I335" s="719"/>
      <c r="J335" s="719"/>
      <c r="K335" s="719"/>
      <c r="L335" s="719"/>
      <c r="M335" s="719"/>
    </row>
    <row r="336" spans="1:13" s="51" customFormat="1" x14ac:dyDescent="0.3">
      <c r="A336" s="719"/>
      <c r="B336" s="719"/>
      <c r="C336" s="719"/>
      <c r="D336" s="719"/>
      <c r="E336" s="719"/>
      <c r="F336" s="719"/>
      <c r="G336" s="719"/>
      <c r="H336" s="719"/>
      <c r="I336" s="719"/>
      <c r="J336" s="719"/>
      <c r="K336" s="719"/>
      <c r="L336" s="719"/>
      <c r="M336" s="719"/>
    </row>
    <row r="337" spans="1:13" s="51" customFormat="1" x14ac:dyDescent="0.3">
      <c r="A337" s="719"/>
      <c r="B337" s="719"/>
      <c r="C337" s="719"/>
      <c r="D337" s="719"/>
      <c r="E337" s="719"/>
      <c r="F337" s="719"/>
      <c r="G337" s="719"/>
      <c r="H337" s="719"/>
      <c r="I337" s="719"/>
      <c r="J337" s="719"/>
      <c r="K337" s="719"/>
      <c r="L337" s="719"/>
      <c r="M337" s="719"/>
    </row>
    <row r="338" spans="1:13" s="51" customFormat="1" x14ac:dyDescent="0.3">
      <c r="A338" s="901" t="s">
        <v>4</v>
      </c>
      <c r="B338" s="901"/>
      <c r="C338" s="901"/>
      <c r="D338" s="901"/>
      <c r="E338" s="901"/>
      <c r="F338" s="901"/>
      <c r="G338" s="901"/>
      <c r="H338" s="901"/>
      <c r="I338" s="901"/>
      <c r="J338" s="732"/>
      <c r="K338" s="732"/>
      <c r="L338" s="732"/>
      <c r="M338" s="719"/>
    </row>
    <row r="339" spans="1:13" s="51" customFormat="1" x14ac:dyDescent="0.3">
      <c r="A339" s="901" t="s">
        <v>5</v>
      </c>
      <c r="B339" s="901"/>
      <c r="C339" s="901"/>
      <c r="D339" s="901"/>
      <c r="E339" s="901"/>
      <c r="F339" s="901"/>
      <c r="G339" s="901"/>
      <c r="H339" s="901"/>
      <c r="I339" s="901"/>
      <c r="J339" s="732"/>
      <c r="K339" s="732"/>
      <c r="L339" s="732"/>
      <c r="M339" s="719"/>
    </row>
    <row r="340" spans="1:13" s="51" customFormat="1" x14ac:dyDescent="0.3">
      <c r="A340" s="901" t="s">
        <v>6</v>
      </c>
      <c r="B340" s="901"/>
      <c r="C340" s="901"/>
      <c r="D340" s="901"/>
      <c r="E340" s="901"/>
      <c r="F340" s="901"/>
      <c r="G340" s="901"/>
      <c r="H340" s="901"/>
      <c r="I340" s="901"/>
      <c r="J340" s="732"/>
      <c r="K340" s="732"/>
      <c r="L340" s="732"/>
      <c r="M340" s="719"/>
    </row>
    <row r="341" spans="1:13" s="51" customFormat="1" ht="15" customHeight="1" x14ac:dyDescent="0.3">
      <c r="A341" s="902" t="s">
        <v>297</v>
      </c>
      <c r="B341" s="902"/>
      <c r="C341" s="902"/>
      <c r="D341" s="902"/>
      <c r="E341" s="902"/>
      <c r="F341" s="902"/>
      <c r="G341" s="902"/>
      <c r="H341" s="902"/>
      <c r="I341" s="902"/>
      <c r="J341" s="732"/>
      <c r="K341" s="732"/>
      <c r="L341" s="732"/>
      <c r="M341" s="719"/>
    </row>
    <row r="342" spans="1:13" s="51" customFormat="1" x14ac:dyDescent="0.3">
      <c r="A342" s="903" t="s">
        <v>306</v>
      </c>
      <c r="B342" s="903"/>
      <c r="C342" s="903"/>
      <c r="D342" s="903"/>
      <c r="E342" s="903"/>
      <c r="F342" s="903"/>
      <c r="G342" s="903"/>
      <c r="H342" s="903"/>
      <c r="I342" s="903"/>
      <c r="J342" s="732"/>
      <c r="K342" s="732"/>
      <c r="L342" s="732"/>
      <c r="M342" s="719"/>
    </row>
    <row r="343" spans="1:13" s="51" customFormat="1" x14ac:dyDescent="0.3">
      <c r="A343" s="905" t="s">
        <v>121</v>
      </c>
      <c r="B343" s="905"/>
      <c r="C343" s="905"/>
      <c r="D343" s="905"/>
      <c r="E343" s="905"/>
      <c r="F343" s="905"/>
      <c r="G343" s="905"/>
      <c r="H343" s="905"/>
      <c r="I343" s="905"/>
      <c r="J343" s="732"/>
      <c r="K343" s="904" t="s">
        <v>125</v>
      </c>
      <c r="L343" s="904"/>
      <c r="M343" s="904"/>
    </row>
    <row r="344" spans="1:13" s="51" customFormat="1" x14ac:dyDescent="0.3">
      <c r="A344" s="719"/>
      <c r="B344" s="719"/>
      <c r="C344" s="719"/>
      <c r="D344" s="719"/>
      <c r="E344" s="719"/>
      <c r="F344" s="719"/>
      <c r="G344" s="719"/>
      <c r="H344" s="719"/>
      <c r="I344" s="719"/>
      <c r="J344" s="732"/>
      <c r="K344" s="732"/>
      <c r="L344" s="732"/>
      <c r="M344" s="719"/>
    </row>
    <row r="345" spans="1:13" s="51" customFormat="1" ht="75" x14ac:dyDescent="0.3">
      <c r="A345" s="720" t="s">
        <v>9</v>
      </c>
      <c r="B345" s="883" t="s">
        <v>10</v>
      </c>
      <c r="C345" s="883"/>
      <c r="D345" s="883"/>
      <c r="E345" s="883"/>
      <c r="F345" s="826" t="s">
        <v>11</v>
      </c>
      <c r="G345" s="883" t="s">
        <v>12</v>
      </c>
      <c r="H345" s="883"/>
      <c r="I345" s="826" t="s">
        <v>13</v>
      </c>
      <c r="J345" s="732"/>
      <c r="K345" s="732"/>
      <c r="L345" s="732"/>
      <c r="M345" s="719"/>
    </row>
    <row r="346" spans="1:13" s="51" customFormat="1" x14ac:dyDescent="0.3">
      <c r="A346" s="825">
        <v>1</v>
      </c>
      <c r="B346" s="884">
        <v>2</v>
      </c>
      <c r="C346" s="884"/>
      <c r="D346" s="884"/>
      <c r="E346" s="884"/>
      <c r="F346" s="825">
        <v>3</v>
      </c>
      <c r="G346" s="884">
        <v>4</v>
      </c>
      <c r="H346" s="884"/>
      <c r="I346" s="825">
        <v>5</v>
      </c>
      <c r="J346" s="732"/>
      <c r="K346" s="732"/>
      <c r="L346" s="732"/>
      <c r="M346" s="719"/>
    </row>
    <row r="347" spans="1:13" s="51" customFormat="1" x14ac:dyDescent="0.3">
      <c r="A347" s="900" t="s">
        <v>18</v>
      </c>
      <c r="B347" s="900"/>
      <c r="C347" s="900"/>
      <c r="D347" s="900"/>
      <c r="E347" s="900"/>
      <c r="F347" s="900"/>
      <c r="G347" s="900"/>
      <c r="H347" s="900"/>
      <c r="I347" s="900"/>
      <c r="J347" s="732"/>
      <c r="K347" s="732"/>
      <c r="L347" s="732"/>
      <c r="M347" s="719"/>
    </row>
    <row r="348" spans="1:13" s="51" customFormat="1" ht="36.75" customHeight="1" x14ac:dyDescent="0.3">
      <c r="A348" s="895" t="s">
        <v>14</v>
      </c>
      <c r="B348" s="895"/>
      <c r="C348" s="895"/>
      <c r="D348" s="895"/>
      <c r="E348" s="895"/>
      <c r="F348" s="895"/>
      <c r="G348" s="895"/>
      <c r="H348" s="895"/>
      <c r="I348" s="895"/>
      <c r="J348" s="732"/>
      <c r="K348" s="732"/>
      <c r="L348" s="732"/>
      <c r="M348" s="719"/>
    </row>
    <row r="349" spans="1:13" s="51" customFormat="1" ht="22.5" customHeight="1" x14ac:dyDescent="0.3">
      <c r="A349" s="825">
        <v>1</v>
      </c>
      <c r="B349" s="880" t="str">
        <f>ЦКС!B5</f>
        <v>Директор</v>
      </c>
      <c r="C349" s="881"/>
      <c r="D349" s="881"/>
      <c r="E349" s="882"/>
      <c r="F349" s="826" t="s">
        <v>162</v>
      </c>
      <c r="G349" s="879">
        <f>ЦКС!E43</f>
        <v>32.799999999999997</v>
      </c>
      <c r="H349" s="879"/>
      <c r="I349" s="825" t="s">
        <v>163</v>
      </c>
      <c r="J349" s="732"/>
      <c r="K349" s="732"/>
      <c r="L349" s="732"/>
      <c r="M349" s="725"/>
    </row>
    <row r="350" spans="1:13" s="51" customFormat="1" ht="22.5" customHeight="1" x14ac:dyDescent="0.3">
      <c r="A350" s="825">
        <v>2</v>
      </c>
      <c r="B350" s="880" t="str">
        <f>ЦКС!B6</f>
        <v>Художественный руководитель</v>
      </c>
      <c r="C350" s="881"/>
      <c r="D350" s="881"/>
      <c r="E350" s="882"/>
      <c r="F350" s="826" t="s">
        <v>162</v>
      </c>
      <c r="G350" s="879">
        <f>ЦКС!E44</f>
        <v>65.599999999999994</v>
      </c>
      <c r="H350" s="879"/>
      <c r="I350" s="825" t="s">
        <v>163</v>
      </c>
      <c r="J350" s="732"/>
      <c r="K350" s="732"/>
      <c r="L350" s="732"/>
      <c r="M350" s="725"/>
    </row>
    <row r="351" spans="1:13" s="51" customFormat="1" ht="22.5" customHeight="1" x14ac:dyDescent="0.3">
      <c r="A351" s="825">
        <v>3</v>
      </c>
      <c r="B351" s="880" t="str">
        <f>ЦКС!B7</f>
        <v>Звукооператор</v>
      </c>
      <c r="C351" s="881"/>
      <c r="D351" s="881"/>
      <c r="E351" s="882"/>
      <c r="F351" s="826" t="s">
        <v>162</v>
      </c>
      <c r="G351" s="879">
        <f>ЦКС!E45</f>
        <v>65.599999999999994</v>
      </c>
      <c r="H351" s="879"/>
      <c r="I351" s="825" t="s">
        <v>163</v>
      </c>
      <c r="J351" s="732"/>
      <c r="K351" s="732"/>
      <c r="L351" s="732"/>
      <c r="M351" s="725"/>
    </row>
    <row r="352" spans="1:13" s="51" customFormat="1" ht="22.5" customHeight="1" x14ac:dyDescent="0.3">
      <c r="A352" s="825">
        <v>4</v>
      </c>
      <c r="B352" s="880" t="str">
        <f>ЦКС!B8</f>
        <v>Редактор клубного учреждения</v>
      </c>
      <c r="C352" s="881"/>
      <c r="D352" s="881"/>
      <c r="E352" s="882"/>
      <c r="F352" s="826" t="s">
        <v>162</v>
      </c>
      <c r="G352" s="883">
        <f>ЦКС!E46</f>
        <v>131</v>
      </c>
      <c r="H352" s="883"/>
      <c r="I352" s="825" t="s">
        <v>163</v>
      </c>
      <c r="J352" s="732"/>
      <c r="K352" s="732"/>
      <c r="L352" s="732"/>
      <c r="M352" s="725"/>
    </row>
    <row r="353" spans="1:13" s="51" customFormat="1" ht="22.5" customHeight="1" x14ac:dyDescent="0.3">
      <c r="A353" s="825">
        <v>5</v>
      </c>
      <c r="B353" s="880" t="str">
        <f>ЦКС!B9</f>
        <v>Художник - оформитель</v>
      </c>
      <c r="C353" s="881"/>
      <c r="D353" s="881"/>
      <c r="E353" s="882"/>
      <c r="F353" s="826" t="s">
        <v>162</v>
      </c>
      <c r="G353" s="879">
        <f>ЦКС!E47</f>
        <v>65.599999999999994</v>
      </c>
      <c r="H353" s="879"/>
      <c r="I353" s="825" t="s">
        <v>163</v>
      </c>
      <c r="J353" s="732"/>
      <c r="K353" s="732"/>
      <c r="L353" s="732"/>
      <c r="M353" s="725"/>
    </row>
    <row r="354" spans="1:13" s="51" customFormat="1" ht="22.5" customHeight="1" x14ac:dyDescent="0.3">
      <c r="A354" s="825">
        <v>6</v>
      </c>
      <c r="B354" s="880" t="str">
        <f>ЦКС!B10</f>
        <v>Художник по свету</v>
      </c>
      <c r="C354" s="881"/>
      <c r="D354" s="881"/>
      <c r="E354" s="882"/>
      <c r="F354" s="826" t="s">
        <v>162</v>
      </c>
      <c r="G354" s="879">
        <f>ЦКС!E48</f>
        <v>32.799999999999997</v>
      </c>
      <c r="H354" s="879"/>
      <c r="I354" s="825" t="s">
        <v>163</v>
      </c>
      <c r="J354" s="732"/>
      <c r="K354" s="732"/>
      <c r="L354" s="732"/>
      <c r="M354" s="725"/>
    </row>
    <row r="355" spans="1:13" s="51" customFormat="1" ht="22.5" customHeight="1" x14ac:dyDescent="0.3">
      <c r="A355" s="825">
        <v>7</v>
      </c>
      <c r="B355" s="880" t="str">
        <f>ЦКС!B11</f>
        <v>Руководитель кукольного кружка</v>
      </c>
      <c r="C355" s="881"/>
      <c r="D355" s="881"/>
      <c r="E355" s="882"/>
      <c r="F355" s="826" t="s">
        <v>162</v>
      </c>
      <c r="G355" s="879">
        <f>ЦКС!E49</f>
        <v>65.599999999999994</v>
      </c>
      <c r="H355" s="879"/>
      <c r="I355" s="825" t="s">
        <v>163</v>
      </c>
      <c r="J355" s="732"/>
      <c r="K355" s="732"/>
      <c r="L355" s="732"/>
      <c r="M355" s="725"/>
    </row>
    <row r="356" spans="1:13" s="51" customFormat="1" ht="22.5" customHeight="1" x14ac:dyDescent="0.3">
      <c r="A356" s="825">
        <v>8</v>
      </c>
      <c r="B356" s="880" t="str">
        <f>ЦКС!B12</f>
        <v>Руководитель кружка</v>
      </c>
      <c r="C356" s="881"/>
      <c r="D356" s="881"/>
      <c r="E356" s="882"/>
      <c r="F356" s="826" t="s">
        <v>162</v>
      </c>
      <c r="G356" s="879">
        <f>ЦКС!E50</f>
        <v>196.79999999999998</v>
      </c>
      <c r="H356" s="879"/>
      <c r="I356" s="825" t="s">
        <v>163</v>
      </c>
      <c r="J356" s="732"/>
      <c r="K356" s="732"/>
      <c r="L356" s="732"/>
      <c r="M356" s="725"/>
    </row>
    <row r="357" spans="1:13" s="51" customFormat="1" ht="22.5" customHeight="1" x14ac:dyDescent="0.3">
      <c r="A357" s="825">
        <v>9</v>
      </c>
      <c r="B357" s="880" t="str">
        <f>ЦКС!B13</f>
        <v>Зав. костюмерной</v>
      </c>
      <c r="C357" s="881"/>
      <c r="D357" s="881"/>
      <c r="E357" s="882"/>
      <c r="F357" s="826" t="s">
        <v>162</v>
      </c>
      <c r="G357" s="879">
        <f>ЦКС!E51</f>
        <v>65.599999999999994</v>
      </c>
      <c r="H357" s="879"/>
      <c r="I357" s="825" t="s">
        <v>163</v>
      </c>
      <c r="J357" s="732"/>
      <c r="K357" s="732"/>
      <c r="L357" s="732"/>
      <c r="M357" s="725"/>
    </row>
    <row r="358" spans="1:13" s="51" customFormat="1" ht="22.5" customHeight="1" x14ac:dyDescent="0.3">
      <c r="A358" s="825">
        <v>10</v>
      </c>
      <c r="B358" s="880" t="str">
        <f>ЦКС!B14</f>
        <v>культ организатор</v>
      </c>
      <c r="C358" s="881"/>
      <c r="D358" s="881"/>
      <c r="E358" s="882"/>
      <c r="F358" s="826" t="s">
        <v>162</v>
      </c>
      <c r="G358" s="879">
        <f>ЦКС!E52</f>
        <v>65.599999999999994</v>
      </c>
      <c r="H358" s="879"/>
      <c r="I358" s="825" t="s">
        <v>163</v>
      </c>
      <c r="J358" s="732"/>
      <c r="K358" s="732"/>
      <c r="L358" s="732"/>
      <c r="M358" s="725"/>
    </row>
    <row r="359" spans="1:13" s="51" customFormat="1" ht="22.5" customHeight="1" x14ac:dyDescent="0.3">
      <c r="A359" s="825">
        <v>11</v>
      </c>
      <c r="B359" s="880" t="str">
        <f>ЦКС!B15</f>
        <v>хормейстер</v>
      </c>
      <c r="C359" s="881"/>
      <c r="D359" s="881"/>
      <c r="E359" s="882"/>
      <c r="F359" s="826" t="s">
        <v>162</v>
      </c>
      <c r="G359" s="879">
        <f>ЦКС!E53</f>
        <v>229.59999999999997</v>
      </c>
      <c r="H359" s="879"/>
      <c r="I359" s="825" t="s">
        <v>163</v>
      </c>
      <c r="J359" s="732"/>
      <c r="K359" s="732"/>
      <c r="L359" s="732"/>
      <c r="M359" s="725"/>
    </row>
    <row r="360" spans="1:13" s="51" customFormat="1" ht="22.5" customHeight="1" x14ac:dyDescent="0.3">
      <c r="A360" s="825">
        <v>12</v>
      </c>
      <c r="B360" s="880" t="str">
        <f>ЦКС!B16</f>
        <v>Балетмейстер-постановщик</v>
      </c>
      <c r="C360" s="881"/>
      <c r="D360" s="881"/>
      <c r="E360" s="882"/>
      <c r="F360" s="826" t="s">
        <v>162</v>
      </c>
      <c r="G360" s="879">
        <f>ЦКС!E54</f>
        <v>65.599999999999994</v>
      </c>
      <c r="H360" s="879"/>
      <c r="I360" s="825" t="s">
        <v>163</v>
      </c>
      <c r="J360" s="732"/>
      <c r="K360" s="732"/>
      <c r="L360" s="732"/>
      <c r="M360" s="725"/>
    </row>
    <row r="361" spans="1:13" s="51" customFormat="1" ht="22.5" customHeight="1" x14ac:dyDescent="0.3">
      <c r="A361" s="825">
        <v>13</v>
      </c>
      <c r="B361" s="880" t="str">
        <f>ЦКС!B17</f>
        <v>Режиссер- постановщик театра</v>
      </c>
      <c r="C361" s="881"/>
      <c r="D361" s="881"/>
      <c r="E361" s="882"/>
      <c r="F361" s="826" t="s">
        <v>162</v>
      </c>
      <c r="G361" s="879">
        <f>ЦКС!E55</f>
        <v>65.599999999999994</v>
      </c>
      <c r="H361" s="879"/>
      <c r="I361" s="825" t="s">
        <v>163</v>
      </c>
      <c r="J361" s="732"/>
      <c r="K361" s="732"/>
      <c r="L361" s="732"/>
      <c r="M361" s="725"/>
    </row>
    <row r="362" spans="1:13" s="51" customFormat="1" ht="40.5" customHeight="1" x14ac:dyDescent="0.3">
      <c r="A362" s="825">
        <v>14</v>
      </c>
      <c r="B362" s="880" t="str">
        <f>ЦКС!B18</f>
        <v>Режиссер массовых представлений</v>
      </c>
      <c r="C362" s="881"/>
      <c r="D362" s="881"/>
      <c r="E362" s="882"/>
      <c r="F362" s="826" t="s">
        <v>162</v>
      </c>
      <c r="G362" s="879">
        <f>ЦКС!E56</f>
        <v>196.79999999999998</v>
      </c>
      <c r="H362" s="879"/>
      <c r="I362" s="825" t="s">
        <v>163</v>
      </c>
      <c r="J362" s="732"/>
      <c r="K362" s="732"/>
      <c r="L362" s="732"/>
      <c r="M362" s="725"/>
    </row>
    <row r="363" spans="1:13" s="51" customFormat="1" ht="34.5" customHeight="1" x14ac:dyDescent="0.3">
      <c r="A363" s="895" t="s">
        <v>15</v>
      </c>
      <c r="B363" s="895"/>
      <c r="C363" s="895"/>
      <c r="D363" s="895"/>
      <c r="E363" s="895"/>
      <c r="F363" s="895"/>
      <c r="G363" s="895"/>
      <c r="H363" s="895"/>
      <c r="I363" s="895"/>
      <c r="J363" s="732"/>
      <c r="K363" s="732"/>
      <c r="L363" s="732"/>
      <c r="M363" s="725"/>
    </row>
    <row r="364" spans="1:13" s="51" customFormat="1" x14ac:dyDescent="0.3">
      <c r="A364" s="825">
        <v>1</v>
      </c>
      <c r="B364" s="885" t="str">
        <f>'ЦКС 2'!A33</f>
        <v>бумага офисная</v>
      </c>
      <c r="C364" s="885"/>
      <c r="D364" s="885"/>
      <c r="E364" s="885"/>
      <c r="F364" s="825" t="str">
        <f>'ЦКС 2'!L33</f>
        <v>уп.</v>
      </c>
      <c r="G364" s="879">
        <f>'ЦКС 2'!M33</f>
        <v>1.5</v>
      </c>
      <c r="H364" s="879"/>
      <c r="I364" s="825">
        <v>1</v>
      </c>
      <c r="J364" s="732"/>
      <c r="K364" s="732"/>
      <c r="L364" s="732"/>
      <c r="M364" s="725"/>
    </row>
    <row r="365" spans="1:13" s="51" customFormat="1" ht="38.25" customHeight="1" x14ac:dyDescent="0.3">
      <c r="A365" s="825">
        <v>2</v>
      </c>
      <c r="B365" s="885" t="str">
        <f>'ЦКС 2'!A34</f>
        <v>Вкладыш в папку-скоросшиватель</v>
      </c>
      <c r="C365" s="885"/>
      <c r="D365" s="885"/>
      <c r="E365" s="885"/>
      <c r="F365" s="825" t="str">
        <f>'ЦКС 2'!L34</f>
        <v>шт.</v>
      </c>
      <c r="G365" s="879">
        <f>'ЦКС 2'!M34</f>
        <v>30</v>
      </c>
      <c r="H365" s="879"/>
      <c r="I365" s="825">
        <v>1</v>
      </c>
      <c r="J365" s="732"/>
      <c r="K365" s="732"/>
      <c r="L365" s="732"/>
      <c r="M365" s="725"/>
    </row>
    <row r="366" spans="1:13" s="51" customFormat="1" x14ac:dyDescent="0.3">
      <c r="A366" s="825">
        <v>3</v>
      </c>
      <c r="B366" s="885" t="str">
        <f>'ЦКС 2'!A35</f>
        <v>папка-скоросшиватель</v>
      </c>
      <c r="C366" s="885"/>
      <c r="D366" s="885"/>
      <c r="E366" s="885"/>
      <c r="F366" s="825" t="str">
        <f>'ЦКС 2'!L35</f>
        <v>шт.</v>
      </c>
      <c r="G366" s="879">
        <f>'ЦКС 2'!M35</f>
        <v>1.5</v>
      </c>
      <c r="H366" s="879"/>
      <c r="I366" s="825">
        <v>1</v>
      </c>
      <c r="J366" s="732"/>
      <c r="K366" s="732"/>
      <c r="L366" s="732"/>
      <c r="M366" s="725"/>
    </row>
    <row r="367" spans="1:13" s="51" customFormat="1" x14ac:dyDescent="0.3">
      <c r="A367" s="825">
        <v>4</v>
      </c>
      <c r="B367" s="885" t="str">
        <f>'ЦКС 2'!A36</f>
        <v>ручка офисная</v>
      </c>
      <c r="C367" s="885"/>
      <c r="D367" s="885"/>
      <c r="E367" s="885"/>
      <c r="F367" s="825" t="str">
        <f>'ЦКС 2'!L36</f>
        <v>шт.</v>
      </c>
      <c r="G367" s="879">
        <f>'ЦКС 2'!M36</f>
        <v>1</v>
      </c>
      <c r="H367" s="879"/>
      <c r="I367" s="825">
        <v>1</v>
      </c>
      <c r="J367" s="732"/>
      <c r="K367" s="732"/>
      <c r="L367" s="732"/>
      <c r="M367" s="725"/>
    </row>
    <row r="368" spans="1:13" s="51" customFormat="1" x14ac:dyDescent="0.3">
      <c r="A368" s="825">
        <v>5</v>
      </c>
      <c r="B368" s="885" t="str">
        <f>'ЦКС 2'!A37</f>
        <v>карандаш</v>
      </c>
      <c r="C368" s="885"/>
      <c r="D368" s="885"/>
      <c r="E368" s="885"/>
      <c r="F368" s="825" t="str">
        <f>'ЦКС 2'!L37</f>
        <v>шт.</v>
      </c>
      <c r="G368" s="879">
        <f>'ЦКС 2'!M37</f>
        <v>1.7</v>
      </c>
      <c r="H368" s="879"/>
      <c r="I368" s="825">
        <v>1</v>
      </c>
      <c r="J368" s="732"/>
      <c r="K368" s="732"/>
      <c r="L368" s="732"/>
      <c r="M368" s="725"/>
    </row>
    <row r="369" spans="1:13" s="51" customFormat="1" x14ac:dyDescent="0.3">
      <c r="A369" s="825">
        <v>6</v>
      </c>
      <c r="B369" s="885" t="str">
        <f>'ЦКС 2'!A38</f>
        <v>клей</v>
      </c>
      <c r="C369" s="885"/>
      <c r="D369" s="885"/>
      <c r="E369" s="885"/>
      <c r="F369" s="825" t="str">
        <f>'ЦКС 2'!L38</f>
        <v>шт.</v>
      </c>
      <c r="G369" s="879">
        <f>'ЦКС 2'!M38</f>
        <v>0.5</v>
      </c>
      <c r="H369" s="879"/>
      <c r="I369" s="825">
        <v>1</v>
      </c>
      <c r="J369" s="732"/>
      <c r="K369" s="732"/>
      <c r="L369" s="732"/>
      <c r="M369" s="725"/>
    </row>
    <row r="370" spans="1:13" s="51" customFormat="1" ht="33" customHeight="1" x14ac:dyDescent="0.3">
      <c r="A370" s="825">
        <v>7</v>
      </c>
      <c r="B370" s="885" t="str">
        <f>'ЦКС 2'!A39</f>
        <v>бумажные стикеры для заметок</v>
      </c>
      <c r="C370" s="885"/>
      <c r="D370" s="885"/>
      <c r="E370" s="885"/>
      <c r="F370" s="825" t="str">
        <f>'ЦКС 2'!L39</f>
        <v>шт.</v>
      </c>
      <c r="G370" s="879">
        <f>'ЦКС 2'!M39</f>
        <v>0.5</v>
      </c>
      <c r="H370" s="879"/>
      <c r="I370" s="825">
        <v>1</v>
      </c>
      <c r="J370" s="732"/>
      <c r="K370" s="732"/>
      <c r="L370" s="732"/>
      <c r="M370" s="725"/>
    </row>
    <row r="371" spans="1:13" s="51" customFormat="1" ht="38.25" customHeight="1" x14ac:dyDescent="0.3">
      <c r="A371" s="825">
        <v>8</v>
      </c>
      <c r="B371" s="885" t="str">
        <f>'ЦКС 2'!A40</f>
        <v>расходы на полиграфическую продукцию</v>
      </c>
      <c r="C371" s="885"/>
      <c r="D371" s="885"/>
      <c r="E371" s="885"/>
      <c r="F371" s="825" t="str">
        <f>'ЦКС 2'!L40</f>
        <v>шт.</v>
      </c>
      <c r="G371" s="879">
        <f>'ЦКС 2'!M40</f>
        <v>0.5</v>
      </c>
      <c r="H371" s="879"/>
      <c r="I371" s="825">
        <v>1</v>
      </c>
      <c r="J371" s="732"/>
      <c r="K371" s="732"/>
      <c r="L371" s="732"/>
      <c r="M371" s="725"/>
    </row>
    <row r="372" spans="1:13" s="51" customFormat="1" x14ac:dyDescent="0.3">
      <c r="A372" s="895" t="s">
        <v>16</v>
      </c>
      <c r="B372" s="895"/>
      <c r="C372" s="895"/>
      <c r="D372" s="895"/>
      <c r="E372" s="895"/>
      <c r="F372" s="895"/>
      <c r="G372" s="895"/>
      <c r="H372" s="895"/>
      <c r="I372" s="895"/>
      <c r="J372" s="732"/>
      <c r="K372" s="732"/>
      <c r="L372" s="732"/>
      <c r="M372" s="725"/>
    </row>
    <row r="373" spans="1:13" s="51" customFormat="1" x14ac:dyDescent="0.3">
      <c r="A373" s="825"/>
      <c r="B373" s="884"/>
      <c r="C373" s="884"/>
      <c r="D373" s="884"/>
      <c r="E373" s="884"/>
      <c r="F373" s="825"/>
      <c r="G373" s="884"/>
      <c r="H373" s="884"/>
      <c r="I373" s="825"/>
      <c r="J373" s="732"/>
      <c r="K373" s="732"/>
      <c r="L373" s="732"/>
      <c r="M373" s="725"/>
    </row>
    <row r="374" spans="1:13" s="51" customFormat="1" x14ac:dyDescent="0.3">
      <c r="A374" s="825"/>
      <c r="B374" s="884"/>
      <c r="C374" s="884"/>
      <c r="D374" s="884"/>
      <c r="E374" s="884"/>
      <c r="F374" s="825"/>
      <c r="G374" s="884"/>
      <c r="H374" s="884"/>
      <c r="I374" s="825"/>
      <c r="J374" s="732"/>
      <c r="K374" s="732"/>
      <c r="L374" s="732"/>
      <c r="M374" s="725"/>
    </row>
    <row r="375" spans="1:13" s="51" customFormat="1" x14ac:dyDescent="0.3">
      <c r="A375" s="899" t="s">
        <v>17</v>
      </c>
      <c r="B375" s="883"/>
      <c r="C375" s="883"/>
      <c r="D375" s="883"/>
      <c r="E375" s="883"/>
      <c r="F375" s="883"/>
      <c r="G375" s="883"/>
      <c r="H375" s="883"/>
      <c r="I375" s="883"/>
      <c r="J375" s="732"/>
      <c r="K375" s="732"/>
      <c r="L375" s="732"/>
      <c r="M375" s="725"/>
    </row>
    <row r="376" spans="1:13" s="51" customFormat="1" ht="45" customHeight="1" x14ac:dyDescent="0.3">
      <c r="A376" s="896" t="s">
        <v>19</v>
      </c>
      <c r="B376" s="897"/>
      <c r="C376" s="897"/>
      <c r="D376" s="897"/>
      <c r="E376" s="897"/>
      <c r="F376" s="897"/>
      <c r="G376" s="897"/>
      <c r="H376" s="897"/>
      <c r="I376" s="898"/>
      <c r="J376" s="732"/>
      <c r="K376" s="732"/>
      <c r="L376" s="732"/>
      <c r="M376" s="725"/>
    </row>
    <row r="377" spans="1:13" s="51" customFormat="1" ht="44.25" customHeight="1" x14ac:dyDescent="0.3">
      <c r="A377" s="825">
        <v>1</v>
      </c>
      <c r="B377" s="885" t="str">
        <f>'ЦКС 3'!A27</f>
        <v>Административно-управленческий персонал</v>
      </c>
      <c r="C377" s="885"/>
      <c r="D377" s="885"/>
      <c r="E377" s="885"/>
      <c r="F377" s="826" t="s">
        <v>162</v>
      </c>
      <c r="G377" s="879">
        <v>32.799999999999997</v>
      </c>
      <c r="H377" s="879"/>
      <c r="I377" s="825" t="s">
        <v>163</v>
      </c>
      <c r="J377" s="732"/>
      <c r="K377" s="732"/>
      <c r="L377" s="732"/>
      <c r="M377" s="725"/>
    </row>
    <row r="378" spans="1:13" s="51" customFormat="1" ht="39" customHeight="1" x14ac:dyDescent="0.3">
      <c r="A378" s="825">
        <v>2</v>
      </c>
      <c r="B378" s="885" t="str">
        <f>'ЦКС 3'!A28</f>
        <v>Прочий обслуживающий персонал</v>
      </c>
      <c r="C378" s="885"/>
      <c r="D378" s="885"/>
      <c r="E378" s="885"/>
      <c r="F378" s="826" t="s">
        <v>162</v>
      </c>
      <c r="G378" s="879">
        <v>1016.8</v>
      </c>
      <c r="H378" s="879"/>
      <c r="I378" s="825" t="s">
        <v>163</v>
      </c>
      <c r="J378" s="732"/>
      <c r="K378" s="732"/>
      <c r="L378" s="732"/>
      <c r="M378" s="725"/>
    </row>
    <row r="379" spans="1:13" s="51" customFormat="1" x14ac:dyDescent="0.3">
      <c r="A379" s="825"/>
      <c r="B379" s="884"/>
      <c r="C379" s="884"/>
      <c r="D379" s="884"/>
      <c r="E379" s="884"/>
      <c r="F379" s="825"/>
      <c r="G379" s="884"/>
      <c r="H379" s="884"/>
      <c r="I379" s="825"/>
      <c r="J379" s="732"/>
      <c r="K379" s="732"/>
      <c r="L379" s="732"/>
      <c r="M379" s="719"/>
    </row>
    <row r="380" spans="1:13" s="51" customFormat="1" x14ac:dyDescent="0.3">
      <c r="A380" s="896" t="s">
        <v>20</v>
      </c>
      <c r="B380" s="897"/>
      <c r="C380" s="897"/>
      <c r="D380" s="897"/>
      <c r="E380" s="897"/>
      <c r="F380" s="897"/>
      <c r="G380" s="897"/>
      <c r="H380" s="897"/>
      <c r="I380" s="898"/>
      <c r="J380" s="732"/>
      <c r="K380" s="732"/>
      <c r="L380" s="732"/>
      <c r="M380" s="719"/>
    </row>
    <row r="381" spans="1:13" s="51" customFormat="1" ht="21" customHeight="1" x14ac:dyDescent="0.3">
      <c r="A381" s="825">
        <v>1</v>
      </c>
      <c r="B381" s="885" t="str">
        <f>'ЦКС 3'!A6</f>
        <v>оплата потребления газа</v>
      </c>
      <c r="C381" s="885"/>
      <c r="D381" s="885"/>
      <c r="E381" s="885"/>
      <c r="F381" s="825" t="str">
        <f>'ЦКС 3'!D6</f>
        <v>м. куб</v>
      </c>
      <c r="G381" s="883">
        <v>2.4700000000000002</v>
      </c>
      <c r="H381" s="883"/>
      <c r="I381" s="825" t="s">
        <v>163</v>
      </c>
      <c r="J381" s="732"/>
      <c r="K381" s="732"/>
      <c r="L381" s="732"/>
      <c r="M381" s="719"/>
    </row>
    <row r="382" spans="1:13" s="51" customFormat="1" ht="42" customHeight="1" x14ac:dyDescent="0.3">
      <c r="A382" s="825">
        <v>2</v>
      </c>
      <c r="B382" s="885" t="str">
        <f>'ЦКС 3'!A7</f>
        <v>оплата потребления электрической энергии</v>
      </c>
      <c r="C382" s="885"/>
      <c r="D382" s="885"/>
      <c r="E382" s="885"/>
      <c r="F382" s="825" t="str">
        <f>'ЦКС 3'!D7</f>
        <v>Квт/ч</v>
      </c>
      <c r="G382" s="883">
        <v>1381</v>
      </c>
      <c r="H382" s="883"/>
      <c r="I382" s="825" t="s">
        <v>163</v>
      </c>
      <c r="J382" s="732"/>
      <c r="K382" s="732"/>
      <c r="L382" s="732"/>
      <c r="M382" s="719"/>
    </row>
    <row r="383" spans="1:13" s="51" customFormat="1" ht="36.75" customHeight="1" x14ac:dyDescent="0.3">
      <c r="A383" s="825">
        <v>3</v>
      </c>
      <c r="B383" s="885" t="str">
        <f>'ЦКС 3'!A8</f>
        <v>оплата потребления водоснабжения</v>
      </c>
      <c r="C383" s="885"/>
      <c r="D383" s="885"/>
      <c r="E383" s="885"/>
      <c r="F383" s="825" t="str">
        <f>'ЦКС 3'!D8</f>
        <v>м. куб</v>
      </c>
      <c r="G383" s="883">
        <v>12.5</v>
      </c>
      <c r="H383" s="883"/>
      <c r="I383" s="825" t="s">
        <v>163</v>
      </c>
      <c r="J383" s="732"/>
      <c r="K383" s="732"/>
      <c r="L383" s="732"/>
      <c r="M383" s="719"/>
    </row>
    <row r="384" spans="1:13" s="51" customFormat="1" x14ac:dyDescent="0.3">
      <c r="A384" s="825"/>
      <c r="B384" s="884"/>
      <c r="C384" s="884"/>
      <c r="D384" s="884"/>
      <c r="E384" s="884"/>
      <c r="F384" s="825"/>
      <c r="G384" s="884"/>
      <c r="H384" s="884"/>
      <c r="I384" s="825"/>
      <c r="J384" s="732"/>
      <c r="K384" s="732"/>
      <c r="L384" s="732"/>
      <c r="M384" s="719"/>
    </row>
    <row r="385" spans="1:13" s="51" customFormat="1" x14ac:dyDescent="0.3">
      <c r="A385" s="900" t="s">
        <v>21</v>
      </c>
      <c r="B385" s="895"/>
      <c r="C385" s="895"/>
      <c r="D385" s="895"/>
      <c r="E385" s="895"/>
      <c r="F385" s="895"/>
      <c r="G385" s="895"/>
      <c r="H385" s="895"/>
      <c r="I385" s="895"/>
      <c r="J385" s="732"/>
      <c r="K385" s="732"/>
      <c r="L385" s="732"/>
      <c r="M385" s="719"/>
    </row>
    <row r="386" spans="1:13" s="51" customFormat="1" ht="159.75" customHeight="1" x14ac:dyDescent="0.3">
      <c r="A386" s="825">
        <v>1</v>
      </c>
      <c r="B386" s="885" t="str">
        <f>'ЦКС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386" s="885"/>
      <c r="D386" s="885"/>
      <c r="E386" s="885"/>
      <c r="F386" s="825" t="str">
        <f>'ЦКС 3'!D11</f>
        <v>договор</v>
      </c>
      <c r="G386" s="883">
        <v>0.1</v>
      </c>
      <c r="H386" s="883"/>
      <c r="I386" s="825" t="s">
        <v>163</v>
      </c>
      <c r="J386" s="732"/>
      <c r="K386" s="732"/>
      <c r="L386" s="732"/>
      <c r="M386" s="719"/>
    </row>
    <row r="387" spans="1:13" s="51" customFormat="1" ht="62.25" customHeight="1" x14ac:dyDescent="0.3">
      <c r="A387" s="825">
        <v>2</v>
      </c>
      <c r="B387" s="885" t="str">
        <f>'ЦКС 3'!A12</f>
        <v>Реагирование на соообщения о срабатывании тревожной сигнализации</v>
      </c>
      <c r="C387" s="885"/>
      <c r="D387" s="885"/>
      <c r="E387" s="885"/>
      <c r="F387" s="825" t="str">
        <f>'ЦКС 3'!D12</f>
        <v>договор</v>
      </c>
      <c r="G387" s="883">
        <v>0.1</v>
      </c>
      <c r="H387" s="883"/>
      <c r="I387" s="825" t="s">
        <v>163</v>
      </c>
      <c r="J387" s="732"/>
      <c r="K387" s="732"/>
      <c r="L387" s="732"/>
      <c r="M387" s="719"/>
    </row>
    <row r="388" spans="1:13" s="51" customFormat="1" ht="51" customHeight="1" x14ac:dyDescent="0.3">
      <c r="A388" s="825">
        <v>3</v>
      </c>
      <c r="B388" s="885" t="str">
        <f>'ЦКС 3'!A13</f>
        <v>Тех обслуживание сети газораспределения</v>
      </c>
      <c r="C388" s="885"/>
      <c r="D388" s="885"/>
      <c r="E388" s="885"/>
      <c r="F388" s="825" t="str">
        <f>'ЦКС 3'!D13</f>
        <v>договор</v>
      </c>
      <c r="G388" s="883">
        <v>0.1</v>
      </c>
      <c r="H388" s="883"/>
      <c r="I388" s="825" t="s">
        <v>163</v>
      </c>
      <c r="J388" s="732"/>
      <c r="K388" s="732"/>
      <c r="L388" s="732"/>
      <c r="M388" s="719"/>
    </row>
    <row r="389" spans="1:13" s="51" customFormat="1" ht="48.75" customHeight="1" x14ac:dyDescent="0.3">
      <c r="A389" s="825">
        <v>4</v>
      </c>
      <c r="B389" s="885" t="str">
        <f>'ЦКС 3'!A15</f>
        <v>Вывоз твердых бытовых отходов, утилизация отходов</v>
      </c>
      <c r="C389" s="885"/>
      <c r="D389" s="885"/>
      <c r="E389" s="885"/>
      <c r="F389" s="825" t="str">
        <f>'ЦКС 3'!D15</f>
        <v>договор</v>
      </c>
      <c r="G389" s="883">
        <v>0.1</v>
      </c>
      <c r="H389" s="883"/>
      <c r="I389" s="825" t="s">
        <v>163</v>
      </c>
      <c r="J389" s="732"/>
      <c r="K389" s="732"/>
      <c r="L389" s="732"/>
      <c r="M389" s="719"/>
    </row>
    <row r="390" spans="1:13" s="51" customFormat="1" ht="66" customHeight="1" x14ac:dyDescent="0.3">
      <c r="A390" s="825">
        <v>5</v>
      </c>
      <c r="B390" s="885" t="str">
        <f>'ЦКС 3'!A16</f>
        <v>Прочие расходы на содержание объектов недвижимого имущества</v>
      </c>
      <c r="C390" s="885"/>
      <c r="D390" s="885"/>
      <c r="E390" s="885"/>
      <c r="F390" s="825" t="str">
        <f>'ЦКС 3'!D15</f>
        <v>договор</v>
      </c>
      <c r="G390" s="883">
        <v>0.2</v>
      </c>
      <c r="H390" s="883"/>
      <c r="I390" s="825" t="s">
        <v>163</v>
      </c>
      <c r="J390" s="732"/>
      <c r="K390" s="732"/>
      <c r="L390" s="732"/>
      <c r="M390" s="719"/>
    </row>
    <row r="391" spans="1:13" s="51" customFormat="1" x14ac:dyDescent="0.3">
      <c r="A391" s="825"/>
      <c r="B391" s="884"/>
      <c r="C391" s="884"/>
      <c r="D391" s="884"/>
      <c r="E391" s="884"/>
      <c r="F391" s="825"/>
      <c r="G391" s="884"/>
      <c r="H391" s="884"/>
      <c r="I391" s="825"/>
      <c r="J391" s="732"/>
      <c r="K391" s="732"/>
      <c r="L391" s="732"/>
      <c r="M391" s="719"/>
    </row>
    <row r="392" spans="1:13" s="51" customFormat="1" x14ac:dyDescent="0.3">
      <c r="A392" s="825"/>
      <c r="B392" s="884"/>
      <c r="C392" s="884"/>
      <c r="D392" s="884"/>
      <c r="E392" s="884"/>
      <c r="F392" s="825"/>
      <c r="G392" s="884"/>
      <c r="H392" s="884"/>
      <c r="I392" s="825"/>
      <c r="J392" s="732"/>
      <c r="K392" s="732"/>
      <c r="L392" s="732"/>
      <c r="M392" s="719"/>
    </row>
    <row r="393" spans="1:13" s="51" customFormat="1" x14ac:dyDescent="0.3">
      <c r="A393" s="895" t="s">
        <v>22</v>
      </c>
      <c r="B393" s="895"/>
      <c r="C393" s="895"/>
      <c r="D393" s="895"/>
      <c r="E393" s="895"/>
      <c r="F393" s="895"/>
      <c r="G393" s="895"/>
      <c r="H393" s="895"/>
      <c r="I393" s="895"/>
      <c r="J393" s="732"/>
      <c r="K393" s="732"/>
      <c r="L393" s="732"/>
      <c r="M393" s="719"/>
    </row>
    <row r="394" spans="1:13" s="51" customFormat="1" ht="20.25" customHeight="1" x14ac:dyDescent="0.3">
      <c r="A394" s="825">
        <v>1</v>
      </c>
      <c r="B394" s="885" t="str">
        <f>'ЦКС 3'!A23</f>
        <v>интернет</v>
      </c>
      <c r="C394" s="885"/>
      <c r="D394" s="885"/>
      <c r="E394" s="885"/>
      <c r="F394" s="825" t="str">
        <f>'ЦКС 3'!D23</f>
        <v>Гб</v>
      </c>
      <c r="G394" s="883">
        <v>33.4</v>
      </c>
      <c r="H394" s="883"/>
      <c r="I394" s="825" t="s">
        <v>163</v>
      </c>
      <c r="J394" s="732"/>
      <c r="K394" s="732"/>
      <c r="L394" s="732"/>
      <c r="M394" s="719"/>
    </row>
    <row r="395" spans="1:13" s="51" customFormat="1" x14ac:dyDescent="0.3">
      <c r="A395" s="825">
        <v>2</v>
      </c>
      <c r="B395" s="885" t="str">
        <f>'ЦКС 3'!A24</f>
        <v>услуги связи</v>
      </c>
      <c r="C395" s="885"/>
      <c r="D395" s="885"/>
      <c r="E395" s="885"/>
      <c r="F395" s="825" t="str">
        <f>'ЦКС 3'!D24</f>
        <v>мин.</v>
      </c>
      <c r="G395" s="883">
        <v>66</v>
      </c>
      <c r="H395" s="883"/>
      <c r="I395" s="825" t="s">
        <v>163</v>
      </c>
      <c r="J395" s="732"/>
      <c r="K395" s="732"/>
      <c r="L395" s="732"/>
      <c r="M395" s="719"/>
    </row>
    <row r="396" spans="1:13" s="51" customFormat="1" x14ac:dyDescent="0.3">
      <c r="A396" s="825"/>
      <c r="B396" s="884"/>
      <c r="C396" s="884"/>
      <c r="D396" s="884"/>
      <c r="E396" s="884"/>
      <c r="F396" s="825"/>
      <c r="G396" s="884"/>
      <c r="H396" s="884"/>
      <c r="I396" s="825"/>
      <c r="J396" s="732"/>
      <c r="K396" s="732"/>
      <c r="L396" s="732"/>
      <c r="M396" s="719"/>
    </row>
    <row r="397" spans="1:13" s="51" customFormat="1" x14ac:dyDescent="0.3">
      <c r="A397" s="895" t="s">
        <v>23</v>
      </c>
      <c r="B397" s="895"/>
      <c r="C397" s="895"/>
      <c r="D397" s="895"/>
      <c r="E397" s="895"/>
      <c r="F397" s="895"/>
      <c r="G397" s="895"/>
      <c r="H397" s="895"/>
      <c r="I397" s="895"/>
      <c r="J397" s="732"/>
      <c r="K397" s="732"/>
      <c r="L397" s="732"/>
      <c r="M397" s="719"/>
    </row>
    <row r="398" spans="1:13" s="51" customFormat="1" x14ac:dyDescent="0.3">
      <c r="A398" s="825">
        <v>1</v>
      </c>
      <c r="B398" s="885" t="str">
        <f>'ЦКС 3'!A19</f>
        <v>ГСМ</v>
      </c>
      <c r="C398" s="885"/>
      <c r="D398" s="885"/>
      <c r="E398" s="885"/>
      <c r="F398" s="825" t="str">
        <f>'ЦКС 3'!D19</f>
        <v>л.</v>
      </c>
      <c r="G398" s="884">
        <v>134</v>
      </c>
      <c r="H398" s="884"/>
      <c r="I398" s="825">
        <v>1</v>
      </c>
      <c r="J398" s="732"/>
      <c r="K398" s="732"/>
      <c r="L398" s="732"/>
      <c r="M398" s="719"/>
    </row>
    <row r="399" spans="1:13" s="51" customFormat="1" ht="44.25" customHeight="1" x14ac:dyDescent="0.3">
      <c r="A399" s="825">
        <v>2</v>
      </c>
      <c r="B399" s="885" t="str">
        <f>'ЦКС 3'!A20</f>
        <v>Техническое обслуживание и ремонтов автотранспорта</v>
      </c>
      <c r="C399" s="885"/>
      <c r="D399" s="885"/>
      <c r="E399" s="885"/>
      <c r="F399" s="825" t="str">
        <f>'ЦКС 3'!D20</f>
        <v>договор</v>
      </c>
      <c r="G399" s="879">
        <v>0.1</v>
      </c>
      <c r="H399" s="879"/>
      <c r="I399" s="825" t="s">
        <v>163</v>
      </c>
      <c r="J399" s="732"/>
      <c r="K399" s="732"/>
      <c r="L399" s="732"/>
      <c r="M399" s="719"/>
    </row>
    <row r="400" spans="1:13" s="51" customFormat="1" ht="39" customHeight="1" x14ac:dyDescent="0.3">
      <c r="A400" s="825">
        <v>3</v>
      </c>
      <c r="B400" s="885" t="str">
        <f>'ЦКС 3'!A31</f>
        <v>Медицинский осмотр</v>
      </c>
      <c r="C400" s="885"/>
      <c r="D400" s="885"/>
      <c r="E400" s="885"/>
      <c r="F400" s="825" t="str">
        <f>'ЦКС 3'!D31</f>
        <v>договор</v>
      </c>
      <c r="G400" s="879">
        <v>0.1</v>
      </c>
      <c r="H400" s="879"/>
      <c r="I400" s="825" t="s">
        <v>163</v>
      </c>
      <c r="J400" s="732"/>
      <c r="K400" s="732"/>
      <c r="L400" s="732"/>
      <c r="M400" s="719"/>
    </row>
    <row r="401" spans="1:15" s="51" customFormat="1" ht="76.5" customHeight="1" x14ac:dyDescent="0.3">
      <c r="A401" s="825">
        <v>4</v>
      </c>
      <c r="B401" s="885" t="str">
        <f>'ЦКС 3'!A32</f>
        <v>Производственный контроль, аккарицидная обработка, дератизация, дезинфекция и пр. санитарно-гигиенические меропориятия</v>
      </c>
      <c r="C401" s="885"/>
      <c r="D401" s="885"/>
      <c r="E401" s="885"/>
      <c r="F401" s="825" t="str">
        <f>'ЦКС 3'!D32</f>
        <v>договор</v>
      </c>
      <c r="G401" s="879">
        <v>0.1</v>
      </c>
      <c r="H401" s="879"/>
      <c r="I401" s="825" t="s">
        <v>163</v>
      </c>
      <c r="J401" s="732"/>
      <c r="K401" s="732"/>
      <c r="L401" s="732"/>
      <c r="M401" s="719"/>
    </row>
    <row r="402" spans="1:15" s="51" customFormat="1" ht="87" customHeight="1" x14ac:dyDescent="0.3">
      <c r="A402" s="825">
        <v>5</v>
      </c>
      <c r="B402" s="890" t="str">
        <f>'ЦКС 3'!A33</f>
        <v>Обучение персонала (электро, тепло, газовое хозяйство, пожарная безопасность, охрана труда и др.)</v>
      </c>
      <c r="C402" s="891"/>
      <c r="D402" s="891"/>
      <c r="E402" s="892"/>
      <c r="F402" s="825" t="str">
        <f>'ЦКС 3'!D33</f>
        <v>договор</v>
      </c>
      <c r="G402" s="893">
        <v>0.1</v>
      </c>
      <c r="H402" s="894"/>
      <c r="I402" s="825" t="s">
        <v>163</v>
      </c>
      <c r="J402" s="732"/>
      <c r="K402" s="732"/>
      <c r="L402" s="732"/>
      <c r="M402" s="719"/>
    </row>
    <row r="403" spans="1:15" s="51" customFormat="1" ht="45.75" customHeight="1" x14ac:dyDescent="0.3">
      <c r="A403" s="825">
        <v>6</v>
      </c>
      <c r="B403" s="885" t="str">
        <f>'ЦКС 3'!A34</f>
        <v>Обслуживание программных комплексов</v>
      </c>
      <c r="C403" s="885"/>
      <c r="D403" s="885"/>
      <c r="E403" s="885"/>
      <c r="F403" s="825" t="str">
        <f>'ЦКС 3'!D34</f>
        <v>договор</v>
      </c>
      <c r="G403" s="879">
        <v>0.1</v>
      </c>
      <c r="H403" s="879"/>
      <c r="I403" s="825" t="s">
        <v>163</v>
      </c>
      <c r="J403" s="732"/>
      <c r="K403" s="732"/>
      <c r="L403" s="732"/>
      <c r="M403" s="719"/>
    </row>
    <row r="404" spans="1:15" s="51" customFormat="1" ht="57" hidden="1" customHeight="1" x14ac:dyDescent="0.3">
      <c r="A404" s="825">
        <v>7</v>
      </c>
      <c r="B404" s="885" t="str">
        <f>'ЦКС 3'!A35</f>
        <v>Специальная оценка условий труда</v>
      </c>
      <c r="C404" s="885"/>
      <c r="D404" s="885"/>
      <c r="E404" s="885"/>
      <c r="F404" s="825" t="str">
        <f>'ЦКС 3'!D35</f>
        <v>чел.</v>
      </c>
      <c r="G404" s="879"/>
      <c r="H404" s="879"/>
      <c r="I404" s="825" t="s">
        <v>163</v>
      </c>
      <c r="J404" s="732"/>
      <c r="K404" s="732"/>
      <c r="L404" s="732"/>
      <c r="M404" s="719"/>
    </row>
    <row r="405" spans="1:15" s="51" customFormat="1" ht="47.25" hidden="1" customHeight="1" x14ac:dyDescent="0.3">
      <c r="A405" s="734">
        <v>8</v>
      </c>
      <c r="B405" s="885" t="str">
        <f>'ЦКС 3'!A36</f>
        <v>Страховое особо опасных объектов</v>
      </c>
      <c r="C405" s="885"/>
      <c r="D405" s="885"/>
      <c r="E405" s="885"/>
      <c r="F405" s="825" t="str">
        <f>'ЦКС 3'!D36</f>
        <v>договор</v>
      </c>
      <c r="G405" s="886">
        <v>1</v>
      </c>
      <c r="H405" s="887"/>
      <c r="I405" s="825" t="s">
        <v>163</v>
      </c>
      <c r="J405" s="719"/>
      <c r="K405" s="719"/>
      <c r="L405" s="719"/>
      <c r="M405" s="719"/>
    </row>
    <row r="406" spans="1:15" s="51" customFormat="1" ht="43.5" customHeight="1" x14ac:dyDescent="0.3">
      <c r="A406" s="735">
        <v>7</v>
      </c>
      <c r="B406" s="885" t="str">
        <f>'ЦКС 3'!A37</f>
        <v>Проверка и ремонт измерительных приборов</v>
      </c>
      <c r="C406" s="885"/>
      <c r="D406" s="885"/>
      <c r="E406" s="885"/>
      <c r="F406" s="825" t="str">
        <f>'ЦКС 3'!D37</f>
        <v>договор</v>
      </c>
      <c r="G406" s="886">
        <v>0.1</v>
      </c>
      <c r="H406" s="887"/>
      <c r="I406" s="825" t="s">
        <v>163</v>
      </c>
      <c r="J406" s="719"/>
      <c r="K406" s="719"/>
      <c r="L406" s="719"/>
      <c r="M406" s="719"/>
    </row>
    <row r="407" spans="1:15" s="51" customFormat="1" x14ac:dyDescent="0.3">
      <c r="A407" s="734"/>
      <c r="B407" s="884"/>
      <c r="C407" s="884"/>
      <c r="D407" s="884"/>
      <c r="E407" s="884"/>
      <c r="F407" s="734"/>
      <c r="G407" s="888"/>
      <c r="H407" s="889"/>
      <c r="I407" s="734"/>
      <c r="J407" s="719"/>
      <c r="K407" s="719"/>
      <c r="L407" s="719"/>
      <c r="M407" s="719"/>
    </row>
    <row r="408" spans="1:15" s="51" customFormat="1" x14ac:dyDescent="0.3">
      <c r="A408" s="719"/>
      <c r="B408" s="719"/>
      <c r="C408" s="719"/>
      <c r="D408" s="719"/>
      <c r="E408" s="719"/>
      <c r="F408" s="719"/>
      <c r="G408" s="719"/>
      <c r="H408" s="719"/>
      <c r="I408" s="719"/>
      <c r="J408" s="719"/>
      <c r="K408" s="725"/>
      <c r="L408" s="725"/>
      <c r="M408" s="719"/>
      <c r="N408" s="69"/>
      <c r="O408" s="69"/>
    </row>
    <row r="409" spans="1:15" s="51" customFormat="1" x14ac:dyDescent="0.3">
      <c r="A409" s="719"/>
      <c r="B409" s="719"/>
      <c r="C409" s="719"/>
      <c r="D409" s="719"/>
      <c r="E409" s="719"/>
      <c r="F409" s="719"/>
      <c r="G409" s="719"/>
      <c r="H409" s="719"/>
      <c r="I409" s="719"/>
      <c r="J409" s="719"/>
      <c r="K409" s="725"/>
      <c r="L409" s="725"/>
      <c r="M409" s="719"/>
      <c r="N409" s="69"/>
      <c r="O409" s="69"/>
    </row>
    <row r="410" spans="1:15" s="51" customFormat="1" x14ac:dyDescent="0.3">
      <c r="A410" s="901" t="s">
        <v>4</v>
      </c>
      <c r="B410" s="901"/>
      <c r="C410" s="901"/>
      <c r="D410" s="901"/>
      <c r="E410" s="901"/>
      <c r="F410" s="901"/>
      <c r="G410" s="901"/>
      <c r="H410" s="901"/>
      <c r="I410" s="901"/>
      <c r="J410" s="719"/>
      <c r="K410" s="725"/>
      <c r="L410" s="725"/>
      <c r="M410" s="719"/>
      <c r="N410" s="69"/>
      <c r="O410" s="69"/>
    </row>
    <row r="411" spans="1:15" s="51" customFormat="1" x14ac:dyDescent="0.3">
      <c r="A411" s="901" t="s">
        <v>5</v>
      </c>
      <c r="B411" s="901"/>
      <c r="C411" s="901"/>
      <c r="D411" s="901"/>
      <c r="E411" s="901"/>
      <c r="F411" s="901"/>
      <c r="G411" s="901"/>
      <c r="H411" s="901"/>
      <c r="I411" s="901"/>
      <c r="J411" s="719"/>
      <c r="K411" s="719"/>
      <c r="L411" s="719"/>
      <c r="M411" s="719"/>
      <c r="N411" s="69"/>
      <c r="O411" s="69"/>
    </row>
    <row r="412" spans="1:15" s="51" customFormat="1" x14ac:dyDescent="0.3">
      <c r="A412" s="901" t="s">
        <v>6</v>
      </c>
      <c r="B412" s="901"/>
      <c r="C412" s="901"/>
      <c r="D412" s="901"/>
      <c r="E412" s="901"/>
      <c r="F412" s="901"/>
      <c r="G412" s="901"/>
      <c r="H412" s="901"/>
      <c r="I412" s="901"/>
      <c r="J412" s="719"/>
      <c r="K412" s="719"/>
      <c r="L412" s="719"/>
      <c r="M412" s="719"/>
      <c r="N412" s="69"/>
      <c r="O412" s="69"/>
    </row>
    <row r="413" spans="1:15" s="51" customFormat="1" ht="40.5" customHeight="1" x14ac:dyDescent="0.3">
      <c r="A413" s="902" t="s">
        <v>160</v>
      </c>
      <c r="B413" s="913"/>
      <c r="C413" s="913"/>
      <c r="D413" s="913"/>
      <c r="E413" s="913"/>
      <c r="F413" s="913"/>
      <c r="G413" s="913"/>
      <c r="H413" s="913"/>
      <c r="I413" s="913"/>
      <c r="J413" s="719"/>
      <c r="K413" s="719"/>
      <c r="L413" s="719"/>
      <c r="M413" s="719"/>
      <c r="N413" s="69"/>
      <c r="O413" s="69"/>
    </row>
    <row r="414" spans="1:15" s="51" customFormat="1" x14ac:dyDescent="0.3">
      <c r="A414" s="903" t="s">
        <v>298</v>
      </c>
      <c r="B414" s="903"/>
      <c r="C414" s="903"/>
      <c r="D414" s="903"/>
      <c r="E414" s="903"/>
      <c r="F414" s="903"/>
      <c r="G414" s="903"/>
      <c r="H414" s="903"/>
      <c r="I414" s="903"/>
      <c r="J414" s="719"/>
      <c r="K414" s="719"/>
      <c r="L414" s="719"/>
      <c r="M414" s="719"/>
      <c r="N414" s="69"/>
      <c r="O414" s="69"/>
    </row>
    <row r="415" spans="1:15" s="51" customFormat="1" x14ac:dyDescent="0.3">
      <c r="A415" s="905" t="s">
        <v>123</v>
      </c>
      <c r="B415" s="905"/>
      <c r="C415" s="905"/>
      <c r="D415" s="905"/>
      <c r="E415" s="905"/>
      <c r="F415" s="905"/>
      <c r="G415" s="905"/>
      <c r="H415" s="905"/>
      <c r="I415" s="905"/>
      <c r="J415" s="719"/>
      <c r="K415" s="719"/>
      <c r="L415" s="719"/>
      <c r="M415" s="719"/>
      <c r="N415" s="69"/>
      <c r="O415" s="69"/>
    </row>
    <row r="416" spans="1:15" s="51" customFormat="1" x14ac:dyDescent="0.3">
      <c r="A416" s="719"/>
      <c r="B416" s="719"/>
      <c r="C416" s="719"/>
      <c r="D416" s="719"/>
      <c r="E416" s="719"/>
      <c r="F416" s="719"/>
      <c r="G416" s="719"/>
      <c r="H416" s="719"/>
      <c r="I416" s="719"/>
      <c r="J416" s="719"/>
      <c r="K416" s="719"/>
      <c r="L416" s="719"/>
      <c r="M416" s="719"/>
    </row>
    <row r="417" spans="1:13" s="51" customFormat="1" ht="75" x14ac:dyDescent="0.3">
      <c r="A417" s="720" t="s">
        <v>9</v>
      </c>
      <c r="B417" s="883" t="s">
        <v>10</v>
      </c>
      <c r="C417" s="883"/>
      <c r="D417" s="883"/>
      <c r="E417" s="883"/>
      <c r="F417" s="826" t="s">
        <v>11</v>
      </c>
      <c r="G417" s="883" t="s">
        <v>12</v>
      </c>
      <c r="H417" s="883"/>
      <c r="I417" s="826" t="s">
        <v>13</v>
      </c>
      <c r="J417" s="719"/>
      <c r="K417" s="719"/>
      <c r="L417" s="719"/>
      <c r="M417" s="719"/>
    </row>
    <row r="418" spans="1:13" s="51" customFormat="1" x14ac:dyDescent="0.3">
      <c r="A418" s="825">
        <v>1</v>
      </c>
      <c r="B418" s="884">
        <v>2</v>
      </c>
      <c r="C418" s="884"/>
      <c r="D418" s="884"/>
      <c r="E418" s="884"/>
      <c r="F418" s="825">
        <v>3</v>
      </c>
      <c r="G418" s="884">
        <v>4</v>
      </c>
      <c r="H418" s="884"/>
      <c r="I418" s="825">
        <v>5</v>
      </c>
      <c r="J418" s="719"/>
      <c r="K418" s="719"/>
      <c r="L418" s="719"/>
      <c r="M418" s="719"/>
    </row>
    <row r="419" spans="1:13" s="51" customFormat="1" x14ac:dyDescent="0.3">
      <c r="A419" s="900" t="s">
        <v>18</v>
      </c>
      <c r="B419" s="900"/>
      <c r="C419" s="900"/>
      <c r="D419" s="900"/>
      <c r="E419" s="900"/>
      <c r="F419" s="900"/>
      <c r="G419" s="900"/>
      <c r="H419" s="900"/>
      <c r="I419" s="900"/>
      <c r="J419" s="719"/>
      <c r="K419" s="719"/>
      <c r="L419" s="719"/>
      <c r="M419" s="719"/>
    </row>
    <row r="420" spans="1:13" s="51" customFormat="1" x14ac:dyDescent="0.3">
      <c r="A420" s="895" t="s">
        <v>14</v>
      </c>
      <c r="B420" s="895"/>
      <c r="C420" s="895"/>
      <c r="D420" s="895"/>
      <c r="E420" s="895"/>
      <c r="F420" s="895"/>
      <c r="G420" s="895"/>
      <c r="H420" s="895"/>
      <c r="I420" s="895"/>
      <c r="J420" s="719"/>
      <c r="K420" s="719"/>
      <c r="L420" s="719"/>
      <c r="M420" s="719"/>
    </row>
    <row r="421" spans="1:13" s="51" customFormat="1" x14ac:dyDescent="0.3">
      <c r="A421" s="825">
        <v>1</v>
      </c>
      <c r="B421" s="880" t="str">
        <f>ЦКС!B24</f>
        <v>Директор</v>
      </c>
      <c r="C421" s="881"/>
      <c r="D421" s="881"/>
      <c r="E421" s="882"/>
      <c r="F421" s="826" t="s">
        <v>162</v>
      </c>
      <c r="G421" s="908">
        <f>ЦКС!E5</f>
        <v>7.8095238095238093</v>
      </c>
      <c r="H421" s="908"/>
      <c r="I421" s="825" t="s">
        <v>163</v>
      </c>
      <c r="J421" s="719"/>
      <c r="K421" s="719"/>
      <c r="L421" s="719"/>
      <c r="M421" s="719"/>
    </row>
    <row r="422" spans="1:13" s="51" customFormat="1" x14ac:dyDescent="0.3">
      <c r="A422" s="825">
        <v>2</v>
      </c>
      <c r="B422" s="880" t="str">
        <f>ЦКС!B25</f>
        <v>Художественный руководитель</v>
      </c>
      <c r="C422" s="881"/>
      <c r="D422" s="881"/>
      <c r="E422" s="882"/>
      <c r="F422" s="826" t="s">
        <v>162</v>
      </c>
      <c r="G422" s="908">
        <f>ЦКС!E6</f>
        <v>15.619047619047619</v>
      </c>
      <c r="H422" s="908"/>
      <c r="I422" s="825" t="s">
        <v>163</v>
      </c>
      <c r="J422" s="719"/>
      <c r="K422" s="719"/>
      <c r="L422" s="719"/>
      <c r="M422" s="719"/>
    </row>
    <row r="423" spans="1:13" s="51" customFormat="1" x14ac:dyDescent="0.3">
      <c r="A423" s="825">
        <v>3</v>
      </c>
      <c r="B423" s="880" t="str">
        <f>ЦКС!B26</f>
        <v>Звукооператор</v>
      </c>
      <c r="C423" s="881"/>
      <c r="D423" s="881"/>
      <c r="E423" s="882"/>
      <c r="F423" s="826" t="s">
        <v>162</v>
      </c>
      <c r="G423" s="908">
        <f>ЦКС!E7</f>
        <v>15.62</v>
      </c>
      <c r="H423" s="908"/>
      <c r="I423" s="825" t="s">
        <v>163</v>
      </c>
      <c r="J423" s="719"/>
      <c r="K423" s="719"/>
      <c r="L423" s="719"/>
      <c r="M423" s="719"/>
    </row>
    <row r="424" spans="1:13" s="51" customFormat="1" x14ac:dyDescent="0.3">
      <c r="A424" s="825">
        <v>4</v>
      </c>
      <c r="B424" s="880" t="str">
        <f>ЦКС!B27</f>
        <v>Редактор клубного учреждения</v>
      </c>
      <c r="C424" s="881"/>
      <c r="D424" s="881"/>
      <c r="E424" s="882"/>
      <c r="F424" s="826" t="s">
        <v>162</v>
      </c>
      <c r="G424" s="908">
        <f>ЦКС!E8</f>
        <v>31.24</v>
      </c>
      <c r="H424" s="908"/>
      <c r="I424" s="825" t="s">
        <v>163</v>
      </c>
      <c r="J424" s="719"/>
      <c r="K424" s="719"/>
      <c r="L424" s="719"/>
      <c r="M424" s="719"/>
    </row>
    <row r="425" spans="1:13" s="51" customFormat="1" x14ac:dyDescent="0.3">
      <c r="A425" s="825">
        <v>5</v>
      </c>
      <c r="B425" s="880" t="str">
        <f>ЦКС!B28</f>
        <v>Художник - оформитель</v>
      </c>
      <c r="C425" s="881"/>
      <c r="D425" s="881"/>
      <c r="E425" s="882"/>
      <c r="F425" s="826" t="s">
        <v>162</v>
      </c>
      <c r="G425" s="908">
        <f>ЦКС!E9</f>
        <v>15.62</v>
      </c>
      <c r="H425" s="908"/>
      <c r="I425" s="825" t="s">
        <v>163</v>
      </c>
      <c r="J425" s="719"/>
      <c r="K425" s="719"/>
      <c r="L425" s="719"/>
      <c r="M425" s="719"/>
    </row>
    <row r="426" spans="1:13" s="51" customFormat="1" x14ac:dyDescent="0.3">
      <c r="A426" s="825">
        <v>6</v>
      </c>
      <c r="B426" s="880" t="str">
        <f>ЦКС!B29</f>
        <v>Художник по свету</v>
      </c>
      <c r="C426" s="881"/>
      <c r="D426" s="881"/>
      <c r="E426" s="882"/>
      <c r="F426" s="826" t="s">
        <v>162</v>
      </c>
      <c r="G426" s="908">
        <f>ЦКС!E10</f>
        <v>7.81</v>
      </c>
      <c r="H426" s="908"/>
      <c r="I426" s="825" t="s">
        <v>163</v>
      </c>
      <c r="J426" s="719"/>
      <c r="K426" s="719"/>
      <c r="L426" s="719"/>
      <c r="M426" s="719"/>
    </row>
    <row r="427" spans="1:13" s="51" customFormat="1" x14ac:dyDescent="0.3">
      <c r="A427" s="825">
        <v>7</v>
      </c>
      <c r="B427" s="880" t="str">
        <f>ЦКС!B30</f>
        <v>Руководитель кукольного кружка</v>
      </c>
      <c r="C427" s="881"/>
      <c r="D427" s="881"/>
      <c r="E427" s="882"/>
      <c r="F427" s="826" t="s">
        <v>162</v>
      </c>
      <c r="G427" s="908">
        <f>ЦКС!E11</f>
        <v>15.62</v>
      </c>
      <c r="H427" s="908"/>
      <c r="I427" s="825" t="s">
        <v>163</v>
      </c>
      <c r="J427" s="719"/>
      <c r="K427" s="719"/>
      <c r="L427" s="719"/>
      <c r="M427" s="719"/>
    </row>
    <row r="428" spans="1:13" s="51" customFormat="1" x14ac:dyDescent="0.3">
      <c r="A428" s="825">
        <v>8</v>
      </c>
      <c r="B428" s="880" t="str">
        <f>ЦКС!B31</f>
        <v>Руководитель кружка</v>
      </c>
      <c r="C428" s="881"/>
      <c r="D428" s="881"/>
      <c r="E428" s="882"/>
      <c r="F428" s="826" t="s">
        <v>162</v>
      </c>
      <c r="G428" s="908">
        <f>ЦКС!E12</f>
        <v>46.86</v>
      </c>
      <c r="H428" s="908"/>
      <c r="I428" s="825" t="s">
        <v>163</v>
      </c>
      <c r="J428" s="719"/>
      <c r="K428" s="719"/>
      <c r="L428" s="719"/>
      <c r="M428" s="719"/>
    </row>
    <row r="429" spans="1:13" s="51" customFormat="1" x14ac:dyDescent="0.3">
      <c r="A429" s="825">
        <v>9</v>
      </c>
      <c r="B429" s="880" t="str">
        <f>ЦКС!B32</f>
        <v>Зав. костюмерной</v>
      </c>
      <c r="C429" s="881"/>
      <c r="D429" s="881"/>
      <c r="E429" s="882"/>
      <c r="F429" s="826" t="s">
        <v>162</v>
      </c>
      <c r="G429" s="908">
        <f>ЦКС!E13</f>
        <v>15.62</v>
      </c>
      <c r="H429" s="908"/>
      <c r="I429" s="825" t="s">
        <v>163</v>
      </c>
      <c r="J429" s="719"/>
      <c r="K429" s="719"/>
      <c r="L429" s="719"/>
      <c r="M429" s="719"/>
    </row>
    <row r="430" spans="1:13" s="51" customFormat="1" x14ac:dyDescent="0.3">
      <c r="A430" s="825">
        <v>10</v>
      </c>
      <c r="B430" s="880" t="str">
        <f>ЦКС!B33</f>
        <v>культ организатор</v>
      </c>
      <c r="C430" s="881"/>
      <c r="D430" s="881"/>
      <c r="E430" s="882"/>
      <c r="F430" s="826" t="s">
        <v>162</v>
      </c>
      <c r="G430" s="908">
        <f>ЦКС!E14</f>
        <v>15.62</v>
      </c>
      <c r="H430" s="908"/>
      <c r="I430" s="825" t="s">
        <v>163</v>
      </c>
      <c r="J430" s="719"/>
      <c r="K430" s="719"/>
      <c r="L430" s="719"/>
      <c r="M430" s="719"/>
    </row>
    <row r="431" spans="1:13" s="51" customFormat="1" x14ac:dyDescent="0.3">
      <c r="A431" s="825">
        <v>11</v>
      </c>
      <c r="B431" s="880" t="str">
        <f>ЦКС!B34</f>
        <v>хормейстер</v>
      </c>
      <c r="C431" s="881"/>
      <c r="D431" s="881"/>
      <c r="E431" s="882"/>
      <c r="F431" s="826" t="s">
        <v>162</v>
      </c>
      <c r="G431" s="908">
        <f>ЦКС!E15</f>
        <v>54.669999999999995</v>
      </c>
      <c r="H431" s="908"/>
      <c r="I431" s="825" t="s">
        <v>163</v>
      </c>
      <c r="J431" s="719"/>
      <c r="K431" s="719"/>
      <c r="L431" s="719"/>
      <c r="M431" s="719"/>
    </row>
    <row r="432" spans="1:13" s="51" customFormat="1" x14ac:dyDescent="0.3">
      <c r="A432" s="825">
        <v>12</v>
      </c>
      <c r="B432" s="880" t="str">
        <f>ЦКС!B35</f>
        <v>Балетмейстер-постановщик</v>
      </c>
      <c r="C432" s="881"/>
      <c r="D432" s="881"/>
      <c r="E432" s="882"/>
      <c r="F432" s="826" t="s">
        <v>162</v>
      </c>
      <c r="G432" s="908">
        <f>ЦКС!E16</f>
        <v>15.62</v>
      </c>
      <c r="H432" s="908"/>
      <c r="I432" s="825" t="s">
        <v>163</v>
      </c>
      <c r="J432" s="719"/>
      <c r="K432" s="719"/>
      <c r="L432" s="719"/>
      <c r="M432" s="719"/>
    </row>
    <row r="433" spans="1:13" s="51" customFormat="1" x14ac:dyDescent="0.3">
      <c r="A433" s="825">
        <v>13</v>
      </c>
      <c r="B433" s="880" t="str">
        <f>ЦКС!B36</f>
        <v>Режиссер- постановщик театра</v>
      </c>
      <c r="C433" s="881"/>
      <c r="D433" s="881"/>
      <c r="E433" s="882"/>
      <c r="F433" s="826" t="s">
        <v>162</v>
      </c>
      <c r="G433" s="908">
        <f>ЦКС!E17</f>
        <v>15.62</v>
      </c>
      <c r="H433" s="908"/>
      <c r="I433" s="825" t="s">
        <v>163</v>
      </c>
      <c r="J433" s="719"/>
      <c r="K433" s="719"/>
      <c r="L433" s="719"/>
      <c r="M433" s="719"/>
    </row>
    <row r="434" spans="1:13" s="51" customFormat="1" x14ac:dyDescent="0.3">
      <c r="A434" s="825">
        <v>14</v>
      </c>
      <c r="B434" s="880" t="str">
        <f>ЦКС!B37</f>
        <v>Режиссер массовых представлений</v>
      </c>
      <c r="C434" s="881"/>
      <c r="D434" s="881"/>
      <c r="E434" s="882"/>
      <c r="F434" s="826" t="s">
        <v>162</v>
      </c>
      <c r="G434" s="908">
        <f>ЦКС!E18</f>
        <v>46.86</v>
      </c>
      <c r="H434" s="908"/>
      <c r="I434" s="825" t="s">
        <v>163</v>
      </c>
      <c r="J434" s="719"/>
      <c r="K434" s="719"/>
      <c r="L434" s="719"/>
      <c r="M434" s="719"/>
    </row>
    <row r="435" spans="1:13" s="51" customFormat="1" x14ac:dyDescent="0.3">
      <c r="A435" s="895" t="s">
        <v>15</v>
      </c>
      <c r="B435" s="895"/>
      <c r="C435" s="895"/>
      <c r="D435" s="895"/>
      <c r="E435" s="895"/>
      <c r="F435" s="895"/>
      <c r="G435" s="895"/>
      <c r="H435" s="895"/>
      <c r="I435" s="895"/>
      <c r="J435" s="719"/>
      <c r="K435" s="719"/>
      <c r="L435" s="719"/>
      <c r="M435" s="719"/>
    </row>
    <row r="436" spans="1:13" s="51" customFormat="1" x14ac:dyDescent="0.3">
      <c r="A436" s="825">
        <v>1</v>
      </c>
      <c r="B436" s="885" t="str">
        <f>'ЦКС 2'!A19</f>
        <v>бумага офисная</v>
      </c>
      <c r="C436" s="885"/>
      <c r="D436" s="885"/>
      <c r="E436" s="885"/>
      <c r="F436" s="825" t="str">
        <f>'ЦКС 2'!L19</f>
        <v>уп.</v>
      </c>
      <c r="G436" s="909">
        <f>'ЦКС 2'!M5</f>
        <v>0.35714285714285715</v>
      </c>
      <c r="H436" s="909"/>
      <c r="I436" s="825">
        <v>1</v>
      </c>
      <c r="J436" s="719"/>
      <c r="K436" s="719"/>
      <c r="L436" s="719"/>
      <c r="M436" s="719"/>
    </row>
    <row r="437" spans="1:13" s="51" customFormat="1" x14ac:dyDescent="0.3">
      <c r="A437" s="825">
        <v>2</v>
      </c>
      <c r="B437" s="885" t="str">
        <f>'ЦКС 2'!A20</f>
        <v>Вкладыш в папку-скоросшиватель</v>
      </c>
      <c r="C437" s="885"/>
      <c r="D437" s="885"/>
      <c r="E437" s="885"/>
      <c r="F437" s="825" t="str">
        <f>'ЦКС 2'!L20</f>
        <v>шт.</v>
      </c>
      <c r="G437" s="909">
        <f>'ЦКС 2'!M6</f>
        <v>7.1428571428571432</v>
      </c>
      <c r="H437" s="909"/>
      <c r="I437" s="825">
        <v>1</v>
      </c>
      <c r="J437" s="719"/>
      <c r="K437" s="719"/>
      <c r="L437" s="719"/>
      <c r="M437" s="719"/>
    </row>
    <row r="438" spans="1:13" s="51" customFormat="1" x14ac:dyDescent="0.3">
      <c r="A438" s="825">
        <v>3</v>
      </c>
      <c r="B438" s="885" t="str">
        <f>'ЦКС 2'!A21</f>
        <v>папка-скоросшиватель</v>
      </c>
      <c r="C438" s="885"/>
      <c r="D438" s="885"/>
      <c r="E438" s="885"/>
      <c r="F438" s="825" t="str">
        <f>'ЦКС 2'!L21</f>
        <v>шт.</v>
      </c>
      <c r="G438" s="909">
        <f>'ЦКС 2'!M7</f>
        <v>0.35714285714285715</v>
      </c>
      <c r="H438" s="909"/>
      <c r="I438" s="825">
        <v>1</v>
      </c>
      <c r="J438" s="719"/>
      <c r="K438" s="719"/>
      <c r="L438" s="719"/>
      <c r="M438" s="719"/>
    </row>
    <row r="439" spans="1:13" s="51" customFormat="1" x14ac:dyDescent="0.3">
      <c r="A439" s="825">
        <v>4</v>
      </c>
      <c r="B439" s="885" t="str">
        <f>'ЦКС 2'!A22</f>
        <v>ручка офисная</v>
      </c>
      <c r="C439" s="885"/>
      <c r="D439" s="885"/>
      <c r="E439" s="885"/>
      <c r="F439" s="825" t="str">
        <f>'ЦКС 2'!L22</f>
        <v>шт.</v>
      </c>
      <c r="G439" s="909">
        <f>'ЦКС 2'!M8</f>
        <v>0.23809523809523808</v>
      </c>
      <c r="H439" s="909"/>
      <c r="I439" s="825">
        <v>1</v>
      </c>
      <c r="J439" s="719"/>
      <c r="K439" s="719"/>
      <c r="L439" s="719"/>
      <c r="M439" s="719"/>
    </row>
    <row r="440" spans="1:13" s="51" customFormat="1" x14ac:dyDescent="0.3">
      <c r="A440" s="825">
        <v>5</v>
      </c>
      <c r="B440" s="885" t="str">
        <f>'ЦКС 2'!A23</f>
        <v>карандаш</v>
      </c>
      <c r="C440" s="885"/>
      <c r="D440" s="885"/>
      <c r="E440" s="885"/>
      <c r="F440" s="825" t="str">
        <f>'ЦКС 2'!L23</f>
        <v>шт.</v>
      </c>
      <c r="G440" s="909">
        <f>'ЦКС 2'!M9</f>
        <v>0.40476190476190477</v>
      </c>
      <c r="H440" s="909"/>
      <c r="I440" s="825">
        <v>1</v>
      </c>
      <c r="J440" s="719"/>
      <c r="K440" s="719"/>
      <c r="L440" s="719"/>
      <c r="M440" s="719"/>
    </row>
    <row r="441" spans="1:13" s="51" customFormat="1" x14ac:dyDescent="0.3">
      <c r="A441" s="825">
        <v>6</v>
      </c>
      <c r="B441" s="885" t="str">
        <f>'ЦКС 2'!A24</f>
        <v>клей</v>
      </c>
      <c r="C441" s="885"/>
      <c r="D441" s="885"/>
      <c r="E441" s="885"/>
      <c r="F441" s="825" t="str">
        <f>'ЦКС 2'!L24</f>
        <v>шт.</v>
      </c>
      <c r="G441" s="909">
        <f>'ЦКС 2'!M10</f>
        <v>0.11904761904761904</v>
      </c>
      <c r="H441" s="909"/>
      <c r="I441" s="825">
        <v>1</v>
      </c>
      <c r="J441" s="719"/>
      <c r="K441" s="719"/>
      <c r="L441" s="719"/>
      <c r="M441" s="719"/>
    </row>
    <row r="442" spans="1:13" s="51" customFormat="1" x14ac:dyDescent="0.3">
      <c r="A442" s="825">
        <v>7</v>
      </c>
      <c r="B442" s="885" t="str">
        <f>'ЦКС 2'!A25</f>
        <v>бумажные стикеры для заметок</v>
      </c>
      <c r="C442" s="885"/>
      <c r="D442" s="885"/>
      <c r="E442" s="885"/>
      <c r="F442" s="825" t="str">
        <f>'ЦКС 2'!L25</f>
        <v>шт.</v>
      </c>
      <c r="G442" s="909">
        <f>'ЦКС 2'!M11</f>
        <v>0.11904761904761904</v>
      </c>
      <c r="H442" s="909"/>
      <c r="I442" s="825">
        <v>1</v>
      </c>
      <c r="J442" s="719"/>
      <c r="K442" s="719"/>
      <c r="L442" s="719"/>
      <c r="M442" s="719"/>
    </row>
    <row r="443" spans="1:13" s="51" customFormat="1" x14ac:dyDescent="0.3">
      <c r="A443" s="825">
        <v>8</v>
      </c>
      <c r="B443" s="885" t="str">
        <f>'ЦКС 2'!A26</f>
        <v>расходы на полиграфическую продукцию</v>
      </c>
      <c r="C443" s="885"/>
      <c r="D443" s="885"/>
      <c r="E443" s="885"/>
      <c r="F443" s="825" t="str">
        <f>'ЦКС 2'!L26</f>
        <v>шт.</v>
      </c>
      <c r="G443" s="909">
        <f>'ЦКС 2'!M12</f>
        <v>0.11904761904761904</v>
      </c>
      <c r="H443" s="909"/>
      <c r="I443" s="825">
        <v>1</v>
      </c>
      <c r="J443" s="719"/>
      <c r="K443" s="719"/>
      <c r="L443" s="719"/>
      <c r="M443" s="719"/>
    </row>
    <row r="444" spans="1:13" s="51" customFormat="1" x14ac:dyDescent="0.3">
      <c r="A444" s="895" t="s">
        <v>16</v>
      </c>
      <c r="B444" s="895"/>
      <c r="C444" s="895"/>
      <c r="D444" s="895"/>
      <c r="E444" s="895"/>
      <c r="F444" s="895"/>
      <c r="G444" s="895"/>
      <c r="H444" s="895"/>
      <c r="I444" s="895"/>
      <c r="J444" s="719"/>
      <c r="K444" s="719"/>
      <c r="L444" s="719"/>
      <c r="M444" s="719"/>
    </row>
    <row r="445" spans="1:13" s="51" customFormat="1" x14ac:dyDescent="0.3">
      <c r="A445" s="825"/>
      <c r="B445" s="884"/>
      <c r="C445" s="884"/>
      <c r="D445" s="884"/>
      <c r="E445" s="884"/>
      <c r="F445" s="825"/>
      <c r="G445" s="884"/>
      <c r="H445" s="884"/>
      <c r="I445" s="825"/>
      <c r="J445" s="719"/>
      <c r="K445" s="719"/>
      <c r="L445" s="719"/>
      <c r="M445" s="719"/>
    </row>
    <row r="446" spans="1:13" s="51" customFormat="1" x14ac:dyDescent="0.3">
      <c r="A446" s="825"/>
      <c r="B446" s="884"/>
      <c r="C446" s="884"/>
      <c r="D446" s="884"/>
      <c r="E446" s="884"/>
      <c r="F446" s="825"/>
      <c r="G446" s="884"/>
      <c r="H446" s="884"/>
      <c r="I446" s="825"/>
      <c r="J446" s="719"/>
      <c r="K446" s="719"/>
      <c r="L446" s="719"/>
      <c r="M446" s="719"/>
    </row>
    <row r="447" spans="1:13" s="51" customFormat="1" x14ac:dyDescent="0.3">
      <c r="A447" s="899" t="s">
        <v>17</v>
      </c>
      <c r="B447" s="883"/>
      <c r="C447" s="883"/>
      <c r="D447" s="883"/>
      <c r="E447" s="883"/>
      <c r="F447" s="883"/>
      <c r="G447" s="883"/>
      <c r="H447" s="883"/>
      <c r="I447" s="883"/>
      <c r="J447" s="719"/>
      <c r="K447" s="719"/>
      <c r="L447" s="719"/>
      <c r="M447" s="719"/>
    </row>
    <row r="448" spans="1:13" s="51" customFormat="1" ht="38.25" customHeight="1" x14ac:dyDescent="0.3">
      <c r="A448" s="896" t="s">
        <v>19</v>
      </c>
      <c r="B448" s="897"/>
      <c r="C448" s="897"/>
      <c r="D448" s="897"/>
      <c r="E448" s="897"/>
      <c r="F448" s="897"/>
      <c r="G448" s="897"/>
      <c r="H448" s="897"/>
      <c r="I448" s="898"/>
      <c r="J448" s="719"/>
      <c r="K448" s="719"/>
      <c r="L448" s="719"/>
      <c r="M448" s="719"/>
    </row>
    <row r="449" spans="1:13" s="51" customFormat="1" ht="34.5" customHeight="1" x14ac:dyDescent="0.3">
      <c r="A449" s="825">
        <v>1</v>
      </c>
      <c r="B449" s="885" t="str">
        <f>'ЦКС 3'!A27</f>
        <v>Административно-управленческий персонал</v>
      </c>
      <c r="C449" s="885"/>
      <c r="D449" s="885"/>
      <c r="E449" s="885"/>
      <c r="F449" s="826" t="s">
        <v>162</v>
      </c>
      <c r="G449" s="908">
        <v>7.81</v>
      </c>
      <c r="H449" s="908"/>
      <c r="I449" s="825" t="s">
        <v>163</v>
      </c>
      <c r="J449" s="719"/>
      <c r="K449" s="719"/>
      <c r="L449" s="719"/>
      <c r="M449" s="719"/>
    </row>
    <row r="450" spans="1:13" s="51" customFormat="1" ht="24.75" customHeight="1" x14ac:dyDescent="0.3">
      <c r="A450" s="825">
        <v>2</v>
      </c>
      <c r="B450" s="885" t="str">
        <f>'ЦКС 3'!A28</f>
        <v>Прочий обслуживающий персонал</v>
      </c>
      <c r="C450" s="885"/>
      <c r="D450" s="885"/>
      <c r="E450" s="885"/>
      <c r="F450" s="826" t="s">
        <v>162</v>
      </c>
      <c r="G450" s="908">
        <v>242.095</v>
      </c>
      <c r="H450" s="908"/>
      <c r="I450" s="825" t="s">
        <v>163</v>
      </c>
      <c r="J450" s="719"/>
      <c r="K450" s="719"/>
      <c r="L450" s="719"/>
      <c r="M450" s="719"/>
    </row>
    <row r="451" spans="1:13" s="51" customFormat="1" x14ac:dyDescent="0.3">
      <c r="A451" s="825"/>
      <c r="B451" s="884"/>
      <c r="C451" s="884"/>
      <c r="D451" s="884"/>
      <c r="E451" s="884"/>
      <c r="F451" s="825"/>
      <c r="G451" s="884"/>
      <c r="H451" s="884"/>
      <c r="I451" s="825"/>
      <c r="J451" s="719"/>
      <c r="K451" s="719"/>
      <c r="L451" s="719"/>
      <c r="M451" s="719"/>
    </row>
    <row r="452" spans="1:13" s="51" customFormat="1" x14ac:dyDescent="0.3">
      <c r="A452" s="896" t="s">
        <v>20</v>
      </c>
      <c r="B452" s="897"/>
      <c r="C452" s="897"/>
      <c r="D452" s="897"/>
      <c r="E452" s="897"/>
      <c r="F452" s="897"/>
      <c r="G452" s="897"/>
      <c r="H452" s="897"/>
      <c r="I452" s="898"/>
      <c r="J452" s="719"/>
      <c r="K452" s="719"/>
      <c r="L452" s="719"/>
      <c r="M452" s="719"/>
    </row>
    <row r="453" spans="1:13" s="51" customFormat="1" x14ac:dyDescent="0.3">
      <c r="A453" s="825">
        <v>1</v>
      </c>
      <c r="B453" s="885" t="str">
        <f>'ЦКС 3'!A6</f>
        <v>оплата потребления газа</v>
      </c>
      <c r="C453" s="885"/>
      <c r="D453" s="885"/>
      <c r="E453" s="885"/>
      <c r="F453" s="825" t="str">
        <f>'ЦКС 3'!P6</f>
        <v>м. куб</v>
      </c>
      <c r="G453" s="908">
        <v>0.58799999999999997</v>
      </c>
      <c r="H453" s="908"/>
      <c r="I453" s="825" t="s">
        <v>163</v>
      </c>
      <c r="J453" s="719"/>
      <c r="K453" s="719"/>
      <c r="L453" s="719"/>
      <c r="M453" s="719"/>
    </row>
    <row r="454" spans="1:13" s="51" customFormat="1" ht="33" customHeight="1" x14ac:dyDescent="0.3">
      <c r="A454" s="825">
        <v>2</v>
      </c>
      <c r="B454" s="885" t="str">
        <f>'ЦКС 3'!A7</f>
        <v>оплата потребления электрической энергии</v>
      </c>
      <c r="C454" s="885"/>
      <c r="D454" s="885"/>
      <c r="E454" s="885"/>
      <c r="F454" s="825" t="str">
        <f>'ЦКС 3'!P7</f>
        <v>Квт/ч</v>
      </c>
      <c r="G454" s="908">
        <v>328.81</v>
      </c>
      <c r="H454" s="908"/>
      <c r="I454" s="825" t="s">
        <v>163</v>
      </c>
      <c r="J454" s="719"/>
      <c r="K454" s="719"/>
      <c r="L454" s="719"/>
      <c r="M454" s="719"/>
    </row>
    <row r="455" spans="1:13" s="51" customFormat="1" ht="26.25" customHeight="1" x14ac:dyDescent="0.3">
      <c r="A455" s="825">
        <v>3</v>
      </c>
      <c r="B455" s="885" t="str">
        <f>'ЦКС 3'!A8</f>
        <v>оплата потребления водоснабжения</v>
      </c>
      <c r="C455" s="885"/>
      <c r="D455" s="885"/>
      <c r="E455" s="885"/>
      <c r="F455" s="825" t="str">
        <f>'ЦКС 3'!P8</f>
        <v>м. куб</v>
      </c>
      <c r="G455" s="908">
        <v>2.976</v>
      </c>
      <c r="H455" s="908"/>
      <c r="I455" s="825" t="s">
        <v>163</v>
      </c>
      <c r="J455" s="719"/>
      <c r="K455" s="719"/>
      <c r="L455" s="719"/>
      <c r="M455" s="719"/>
    </row>
    <row r="456" spans="1:13" s="51" customFormat="1" x14ac:dyDescent="0.3">
      <c r="A456" s="825"/>
      <c r="B456" s="884"/>
      <c r="C456" s="884"/>
      <c r="D456" s="884"/>
      <c r="E456" s="884"/>
      <c r="F456" s="825"/>
      <c r="G456" s="884"/>
      <c r="H456" s="884"/>
      <c r="I456" s="825"/>
      <c r="J456" s="719"/>
      <c r="K456" s="719"/>
      <c r="L456" s="719"/>
      <c r="M456" s="719"/>
    </row>
    <row r="457" spans="1:13" s="51" customFormat="1" ht="39" customHeight="1" x14ac:dyDescent="0.3">
      <c r="A457" s="900" t="s">
        <v>21</v>
      </c>
      <c r="B457" s="895"/>
      <c r="C457" s="895"/>
      <c r="D457" s="895"/>
      <c r="E457" s="895"/>
      <c r="F457" s="895"/>
      <c r="G457" s="895"/>
      <c r="H457" s="895"/>
      <c r="I457" s="895"/>
      <c r="J457" s="719"/>
      <c r="K457" s="719"/>
      <c r="L457" s="719"/>
      <c r="M457" s="719"/>
    </row>
    <row r="458" spans="1:13" s="51" customFormat="1" ht="117.75" customHeight="1" x14ac:dyDescent="0.3">
      <c r="A458" s="825">
        <v>1</v>
      </c>
      <c r="B458" s="885" t="str">
        <f>'ЦКС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458" s="885"/>
      <c r="D458" s="885"/>
      <c r="E458" s="885"/>
      <c r="F458" s="825" t="str">
        <f>'ЦКС 3'!P11</f>
        <v>договор</v>
      </c>
      <c r="G458" s="909">
        <v>2.3800000000000002E-2</v>
      </c>
      <c r="H458" s="909"/>
      <c r="I458" s="825" t="s">
        <v>163</v>
      </c>
      <c r="J458" s="719"/>
      <c r="K458" s="719"/>
      <c r="L458" s="719"/>
      <c r="M458" s="719"/>
    </row>
    <row r="459" spans="1:13" s="51" customFormat="1" ht="63" customHeight="1" x14ac:dyDescent="0.3">
      <c r="A459" s="825">
        <v>2</v>
      </c>
      <c r="B459" s="885" t="str">
        <f>'ЦКС 3'!A12</f>
        <v>Реагирование на соообщения о срабатывании тревожной сигнализации</v>
      </c>
      <c r="C459" s="885"/>
      <c r="D459" s="885"/>
      <c r="E459" s="885"/>
      <c r="F459" s="825" t="str">
        <f>'ЦКС 3'!P12</f>
        <v>договор</v>
      </c>
      <c r="G459" s="909">
        <v>2.3800000000000002E-2</v>
      </c>
      <c r="H459" s="909"/>
      <c r="I459" s="825" t="s">
        <v>163</v>
      </c>
      <c r="J459" s="719"/>
      <c r="K459" s="719"/>
      <c r="L459" s="719"/>
      <c r="M459" s="719"/>
    </row>
    <row r="460" spans="1:13" s="51" customFormat="1" ht="42.75" customHeight="1" x14ac:dyDescent="0.3">
      <c r="A460" s="825">
        <v>3</v>
      </c>
      <c r="B460" s="885" t="str">
        <f>'ЦКС 3'!A13</f>
        <v>Тех обслуживание сети газораспределения</v>
      </c>
      <c r="C460" s="885"/>
      <c r="D460" s="885"/>
      <c r="E460" s="885"/>
      <c r="F460" s="825" t="str">
        <f>'ЦКС 3'!P13</f>
        <v>договор</v>
      </c>
      <c r="G460" s="909">
        <v>2.3800000000000002E-2</v>
      </c>
      <c r="H460" s="909"/>
      <c r="I460" s="825" t="s">
        <v>163</v>
      </c>
      <c r="J460" s="719"/>
      <c r="K460" s="719"/>
      <c r="L460" s="719"/>
      <c r="M460" s="719"/>
    </row>
    <row r="461" spans="1:13" s="51" customFormat="1" ht="39" customHeight="1" x14ac:dyDescent="0.3">
      <c r="A461" s="825">
        <v>4</v>
      </c>
      <c r="B461" s="885" t="str">
        <f>'ЦКС 3'!A15</f>
        <v>Вывоз твердых бытовых отходов, утилизация отходов</v>
      </c>
      <c r="C461" s="885"/>
      <c r="D461" s="885"/>
      <c r="E461" s="885"/>
      <c r="F461" s="825" t="str">
        <f>'ЦКС 3'!P15</f>
        <v>договор</v>
      </c>
      <c r="G461" s="909">
        <v>2.3800000000000002E-2</v>
      </c>
      <c r="H461" s="909"/>
      <c r="I461" s="825" t="s">
        <v>163</v>
      </c>
      <c r="J461" s="719"/>
      <c r="K461" s="719"/>
      <c r="L461" s="719"/>
      <c r="M461" s="719"/>
    </row>
    <row r="462" spans="1:13" s="51" customFormat="1" ht="45.75" customHeight="1" x14ac:dyDescent="0.3">
      <c r="A462" s="825">
        <v>5</v>
      </c>
      <c r="B462" s="885" t="s">
        <v>299</v>
      </c>
      <c r="C462" s="885"/>
      <c r="D462" s="885"/>
      <c r="E462" s="885"/>
      <c r="F462" s="825" t="str">
        <f>'ЦКС 3'!P15</f>
        <v>договор</v>
      </c>
      <c r="G462" s="909">
        <v>4.7600000000000003E-2</v>
      </c>
      <c r="H462" s="909"/>
      <c r="I462" s="825" t="s">
        <v>163</v>
      </c>
      <c r="J462" s="719"/>
      <c r="K462" s="719"/>
      <c r="L462" s="719"/>
      <c r="M462" s="719"/>
    </row>
    <row r="463" spans="1:13" s="51" customFormat="1" x14ac:dyDescent="0.3">
      <c r="A463" s="825"/>
      <c r="B463" s="884"/>
      <c r="C463" s="884"/>
      <c r="D463" s="884"/>
      <c r="E463" s="884"/>
      <c r="F463" s="825"/>
      <c r="G463" s="884"/>
      <c r="H463" s="884"/>
      <c r="I463" s="825"/>
      <c r="J463" s="719"/>
      <c r="K463" s="719"/>
      <c r="L463" s="719"/>
      <c r="M463" s="719"/>
    </row>
    <row r="464" spans="1:13" s="51" customFormat="1" x14ac:dyDescent="0.3">
      <c r="A464" s="825"/>
      <c r="B464" s="884"/>
      <c r="C464" s="884"/>
      <c r="D464" s="884"/>
      <c r="E464" s="884"/>
      <c r="F464" s="825"/>
      <c r="G464" s="884"/>
      <c r="H464" s="884"/>
      <c r="I464" s="825"/>
      <c r="J464" s="719"/>
      <c r="K464" s="719"/>
      <c r="L464" s="719"/>
      <c r="M464" s="719"/>
    </row>
    <row r="465" spans="1:13" s="51" customFormat="1" x14ac:dyDescent="0.3">
      <c r="A465" s="895" t="s">
        <v>22</v>
      </c>
      <c r="B465" s="895"/>
      <c r="C465" s="895"/>
      <c r="D465" s="895"/>
      <c r="E465" s="895"/>
      <c r="F465" s="895"/>
      <c r="G465" s="895"/>
      <c r="H465" s="895"/>
      <c r="I465" s="895"/>
      <c r="J465" s="719"/>
      <c r="K465" s="719"/>
      <c r="L465" s="719"/>
      <c r="M465" s="719"/>
    </row>
    <row r="466" spans="1:13" s="51" customFormat="1" x14ac:dyDescent="0.3">
      <c r="A466" s="825">
        <v>1</v>
      </c>
      <c r="B466" s="885" t="str">
        <f>'ЦКС 3'!A23</f>
        <v>интернет</v>
      </c>
      <c r="C466" s="885"/>
      <c r="D466" s="885"/>
      <c r="E466" s="885"/>
      <c r="F466" s="825" t="str">
        <f>'ЦКС 3'!P23</f>
        <v>Гб</v>
      </c>
      <c r="G466" s="909">
        <v>7.952</v>
      </c>
      <c r="H466" s="909"/>
      <c r="I466" s="825" t="s">
        <v>163</v>
      </c>
      <c r="J466" s="719"/>
      <c r="K466" s="719"/>
      <c r="L466" s="719"/>
      <c r="M466" s="719"/>
    </row>
    <row r="467" spans="1:13" s="51" customFormat="1" x14ac:dyDescent="0.3">
      <c r="A467" s="825">
        <v>2</v>
      </c>
      <c r="B467" s="885" t="str">
        <f>'ЦКС 3'!A24</f>
        <v>услуги связи</v>
      </c>
      <c r="C467" s="885"/>
      <c r="D467" s="885"/>
      <c r="E467" s="885"/>
      <c r="F467" s="825" t="str">
        <f>'ЦКС 3'!P24</f>
        <v>мин.</v>
      </c>
      <c r="G467" s="909">
        <v>15.714</v>
      </c>
      <c r="H467" s="909"/>
      <c r="I467" s="825" t="s">
        <v>163</v>
      </c>
      <c r="J467" s="719"/>
      <c r="K467" s="719"/>
      <c r="L467" s="719"/>
      <c r="M467" s="719"/>
    </row>
    <row r="468" spans="1:13" s="51" customFormat="1" x14ac:dyDescent="0.3">
      <c r="A468" s="825"/>
      <c r="B468" s="884"/>
      <c r="C468" s="884"/>
      <c r="D468" s="884"/>
      <c r="E468" s="884"/>
      <c r="F468" s="825"/>
      <c r="G468" s="884"/>
      <c r="H468" s="884"/>
      <c r="I468" s="825"/>
      <c r="J468" s="719"/>
      <c r="K468" s="719"/>
      <c r="L468" s="719"/>
      <c r="M468" s="719"/>
    </row>
    <row r="469" spans="1:13" s="51" customFormat="1" x14ac:dyDescent="0.3">
      <c r="A469" s="895" t="s">
        <v>23</v>
      </c>
      <c r="B469" s="895"/>
      <c r="C469" s="895"/>
      <c r="D469" s="895"/>
      <c r="E469" s="895"/>
      <c r="F469" s="895"/>
      <c r="G469" s="895"/>
      <c r="H469" s="895"/>
      <c r="I469" s="895"/>
      <c r="J469" s="719"/>
      <c r="K469" s="719"/>
      <c r="L469" s="719"/>
      <c r="M469" s="719"/>
    </row>
    <row r="470" spans="1:13" s="51" customFormat="1" x14ac:dyDescent="0.3">
      <c r="A470" s="825">
        <v>1</v>
      </c>
      <c r="B470" s="885" t="str">
        <f>'ЦКС 3'!A19</f>
        <v>ГСМ</v>
      </c>
      <c r="C470" s="885"/>
      <c r="D470" s="885"/>
      <c r="E470" s="885"/>
      <c r="F470" s="825" t="str">
        <f>'ЦКС 3'!P19</f>
        <v>л.</v>
      </c>
      <c r="G470" s="909">
        <v>31.904800000000002</v>
      </c>
      <c r="H470" s="909"/>
      <c r="I470" s="825">
        <v>1</v>
      </c>
      <c r="J470" s="719"/>
      <c r="K470" s="719"/>
      <c r="L470" s="719"/>
      <c r="M470" s="719"/>
    </row>
    <row r="471" spans="1:13" s="51" customFormat="1" ht="38.25" customHeight="1" x14ac:dyDescent="0.3">
      <c r="A471" s="825">
        <v>2</v>
      </c>
      <c r="B471" s="885" t="str">
        <f>'ЦКС 3'!A20</f>
        <v>Техническое обслуживание и ремонтов автотранспорта</v>
      </c>
      <c r="C471" s="885"/>
      <c r="D471" s="885"/>
      <c r="E471" s="885"/>
      <c r="F471" s="825">
        <f>'ЦКС 3'!D92</f>
        <v>0</v>
      </c>
      <c r="G471" s="909">
        <v>2.3800000000000002E-2</v>
      </c>
      <c r="H471" s="909"/>
      <c r="I471" s="825" t="s">
        <v>163</v>
      </c>
      <c r="J471" s="719"/>
      <c r="K471" s="719"/>
      <c r="L471" s="719"/>
      <c r="M471" s="719"/>
    </row>
    <row r="472" spans="1:13" s="51" customFormat="1" ht="26.25" customHeight="1" x14ac:dyDescent="0.3">
      <c r="A472" s="825">
        <v>3</v>
      </c>
      <c r="B472" s="885" t="str">
        <f>'ЦКС 3'!A31</f>
        <v>Медицинский осмотр</v>
      </c>
      <c r="C472" s="885"/>
      <c r="D472" s="885"/>
      <c r="E472" s="885"/>
      <c r="F472" s="825">
        <f>'ЦКС 3'!D103</f>
        <v>0</v>
      </c>
      <c r="G472" s="909">
        <v>2.3800000000000002E-2</v>
      </c>
      <c r="H472" s="909"/>
      <c r="I472" s="825" t="s">
        <v>163</v>
      </c>
      <c r="J472" s="719"/>
      <c r="K472" s="719"/>
      <c r="L472" s="719"/>
      <c r="M472" s="719"/>
    </row>
    <row r="473" spans="1:13" s="51" customFormat="1" ht="69.75" customHeight="1" x14ac:dyDescent="0.3">
      <c r="A473" s="825">
        <v>4</v>
      </c>
      <c r="B473" s="885" t="str">
        <f>'ЦКС 3'!A32</f>
        <v>Производственный контроль, аккарицидная обработка, дератизация, дезинфекция и пр. санитарно-гигиенические меропориятия</v>
      </c>
      <c r="C473" s="885"/>
      <c r="D473" s="885"/>
      <c r="E473" s="885"/>
      <c r="F473" s="825">
        <f>'ЦКС 3'!D104</f>
        <v>0</v>
      </c>
      <c r="G473" s="909">
        <v>2.3800000000000002E-2</v>
      </c>
      <c r="H473" s="909"/>
      <c r="I473" s="825" t="s">
        <v>163</v>
      </c>
      <c r="J473" s="719"/>
      <c r="K473" s="719"/>
      <c r="L473" s="719"/>
      <c r="M473" s="719"/>
    </row>
    <row r="474" spans="1:13" s="51" customFormat="1" ht="60.75" customHeight="1" x14ac:dyDescent="0.3">
      <c r="A474" s="825">
        <v>5</v>
      </c>
      <c r="B474" s="885" t="str">
        <f>'ЦКС 3'!A33</f>
        <v>Обучение персонала (электро, тепло, газовое хозяйство, пожарная безопасность, охрана труда и др.)</v>
      </c>
      <c r="C474" s="885"/>
      <c r="D474" s="885"/>
      <c r="E474" s="885"/>
      <c r="F474" s="825">
        <f>'ЦКС 3'!D105</f>
        <v>0</v>
      </c>
      <c r="G474" s="909">
        <v>2.3800000000000002E-2</v>
      </c>
      <c r="H474" s="909"/>
      <c r="I474" s="825" t="s">
        <v>163</v>
      </c>
      <c r="J474" s="719"/>
      <c r="K474" s="719"/>
      <c r="L474" s="719"/>
      <c r="M474" s="719"/>
    </row>
    <row r="475" spans="1:13" s="51" customFormat="1" ht="31.5" customHeight="1" x14ac:dyDescent="0.3">
      <c r="A475" s="825">
        <v>6</v>
      </c>
      <c r="B475" s="885" t="str">
        <f>'ЦКС 3'!A34</f>
        <v>Обслуживание программных комплексов</v>
      </c>
      <c r="C475" s="885"/>
      <c r="D475" s="885"/>
      <c r="E475" s="885"/>
      <c r="F475" s="825">
        <f>'ЦКС 3'!D106</f>
        <v>0</v>
      </c>
      <c r="G475" s="909">
        <v>2.3800000000000002E-2</v>
      </c>
      <c r="H475" s="909"/>
      <c r="I475" s="825" t="s">
        <v>163</v>
      </c>
      <c r="J475" s="719"/>
      <c r="K475" s="719"/>
      <c r="L475" s="719"/>
      <c r="M475" s="719"/>
    </row>
    <row r="476" spans="1:13" s="51" customFormat="1" ht="24.75" hidden="1" customHeight="1" x14ac:dyDescent="0.3">
      <c r="A476" s="825">
        <v>7</v>
      </c>
      <c r="B476" s="885" t="str">
        <f>'ЦКС 3'!A35</f>
        <v>Специальная оценка условий труда</v>
      </c>
      <c r="C476" s="885"/>
      <c r="D476" s="885"/>
      <c r="E476" s="885"/>
      <c r="F476" s="825">
        <f>'ЦКС 3'!D107</f>
        <v>0</v>
      </c>
      <c r="G476" s="909"/>
      <c r="H476" s="909"/>
      <c r="I476" s="825" t="s">
        <v>163</v>
      </c>
      <c r="J476" s="719"/>
      <c r="K476" s="719"/>
      <c r="L476" s="719"/>
      <c r="M476" s="719"/>
    </row>
    <row r="477" spans="1:13" s="51" customFormat="1" ht="26.25" hidden="1" customHeight="1" x14ac:dyDescent="0.3">
      <c r="A477" s="735">
        <v>8</v>
      </c>
      <c r="B477" s="885" t="str">
        <f>'ЦКС 3'!A36</f>
        <v>Страховое особо опасных объектов</v>
      </c>
      <c r="C477" s="885"/>
      <c r="D477" s="885"/>
      <c r="E477" s="885"/>
      <c r="F477" s="825">
        <f>'ЦКС 3'!D108</f>
        <v>0</v>
      </c>
      <c r="G477" s="915">
        <v>1</v>
      </c>
      <c r="H477" s="916"/>
      <c r="I477" s="825" t="s">
        <v>163</v>
      </c>
      <c r="J477" s="719"/>
      <c r="K477" s="719"/>
      <c r="L477" s="719"/>
      <c r="M477" s="719"/>
    </row>
    <row r="478" spans="1:13" s="51" customFormat="1" ht="35.25" customHeight="1" x14ac:dyDescent="0.3">
      <c r="A478" s="735">
        <v>7</v>
      </c>
      <c r="B478" s="885" t="str">
        <f>'ЦКС 3'!A37</f>
        <v>Проверка и ремонт измерительных приборов</v>
      </c>
      <c r="C478" s="885"/>
      <c r="D478" s="885"/>
      <c r="E478" s="885"/>
      <c r="F478" s="825">
        <f>'ЦКС 3'!D109</f>
        <v>0</v>
      </c>
      <c r="G478" s="915">
        <v>2.3800000000000002E-2</v>
      </c>
      <c r="H478" s="916"/>
      <c r="I478" s="825" t="s">
        <v>163</v>
      </c>
      <c r="J478" s="719"/>
      <c r="K478" s="719"/>
      <c r="L478" s="719"/>
      <c r="M478" s="719"/>
    </row>
    <row r="479" spans="1:13" s="51" customFormat="1" x14ac:dyDescent="0.3">
      <c r="A479" s="734"/>
      <c r="B479" s="884"/>
      <c r="C479" s="884"/>
      <c r="D479" s="884"/>
      <c r="E479" s="884"/>
      <c r="F479" s="734"/>
      <c r="G479" s="888"/>
      <c r="H479" s="889"/>
      <c r="I479" s="734"/>
      <c r="J479" s="719"/>
      <c r="K479" s="719"/>
      <c r="L479" s="719"/>
      <c r="M479" s="719"/>
    </row>
    <row r="480" spans="1:13" s="51" customFormat="1" x14ac:dyDescent="0.3">
      <c r="A480" s="719"/>
      <c r="B480" s="719"/>
      <c r="C480" s="719"/>
      <c r="D480" s="719"/>
      <c r="E480" s="719"/>
      <c r="F480" s="719"/>
      <c r="G480" s="719"/>
      <c r="H480" s="719"/>
      <c r="I480" s="719"/>
      <c r="J480" s="719"/>
      <c r="K480" s="719"/>
      <c r="L480" s="719"/>
      <c r="M480" s="719"/>
    </row>
    <row r="481" spans="1:13" s="51" customFormat="1" x14ac:dyDescent="0.3">
      <c r="A481" s="719"/>
      <c r="B481" s="719"/>
      <c r="C481" s="719"/>
      <c r="D481" s="719"/>
      <c r="E481" s="719"/>
      <c r="F481" s="719"/>
      <c r="G481" s="719"/>
      <c r="H481" s="719"/>
      <c r="I481" s="719"/>
      <c r="J481" s="719"/>
      <c r="K481" s="719"/>
      <c r="L481" s="719"/>
      <c r="M481" s="719"/>
    </row>
    <row r="482" spans="1:13" s="51" customFormat="1" x14ac:dyDescent="0.3">
      <c r="A482" s="901" t="s">
        <v>4</v>
      </c>
      <c r="B482" s="901"/>
      <c r="C482" s="901"/>
      <c r="D482" s="901"/>
      <c r="E482" s="901"/>
      <c r="F482" s="901"/>
      <c r="G482" s="901"/>
      <c r="H482" s="901"/>
      <c r="I482" s="901"/>
      <c r="J482" s="719"/>
      <c r="K482" s="719"/>
      <c r="L482" s="719"/>
      <c r="M482" s="719"/>
    </row>
    <row r="483" spans="1:13" s="51" customFormat="1" x14ac:dyDescent="0.3">
      <c r="A483" s="901" t="s">
        <v>5</v>
      </c>
      <c r="B483" s="901"/>
      <c r="C483" s="901"/>
      <c r="D483" s="901"/>
      <c r="E483" s="901"/>
      <c r="F483" s="901"/>
      <c r="G483" s="901"/>
      <c r="H483" s="901"/>
      <c r="I483" s="901"/>
      <c r="J483" s="719"/>
      <c r="K483" s="719"/>
      <c r="L483" s="719"/>
      <c r="M483" s="719"/>
    </row>
    <row r="484" spans="1:13" s="51" customFormat="1" x14ac:dyDescent="0.3">
      <c r="A484" s="901" t="s">
        <v>6</v>
      </c>
      <c r="B484" s="901"/>
      <c r="C484" s="901"/>
      <c r="D484" s="901"/>
      <c r="E484" s="901"/>
      <c r="F484" s="901"/>
      <c r="G484" s="901"/>
      <c r="H484" s="901"/>
      <c r="I484" s="901"/>
      <c r="J484" s="719"/>
      <c r="K484" s="719"/>
      <c r="L484" s="719"/>
      <c r="M484" s="719"/>
    </row>
    <row r="485" spans="1:13" s="51" customFormat="1" x14ac:dyDescent="0.3">
      <c r="A485" s="902" t="s">
        <v>300</v>
      </c>
      <c r="B485" s="913"/>
      <c r="C485" s="913"/>
      <c r="D485" s="913"/>
      <c r="E485" s="913"/>
      <c r="F485" s="913"/>
      <c r="G485" s="913"/>
      <c r="H485" s="913"/>
      <c r="I485" s="913"/>
      <c r="J485" s="719"/>
      <c r="K485" s="719"/>
      <c r="L485" s="719"/>
      <c r="M485" s="719"/>
    </row>
    <row r="486" spans="1:13" s="51" customFormat="1" x14ac:dyDescent="0.3">
      <c r="A486" s="903" t="s">
        <v>301</v>
      </c>
      <c r="B486" s="903"/>
      <c r="C486" s="903"/>
      <c r="D486" s="903"/>
      <c r="E486" s="903"/>
      <c r="F486" s="903"/>
      <c r="G486" s="903"/>
      <c r="H486" s="903"/>
      <c r="I486" s="903"/>
      <c r="J486" s="719"/>
      <c r="K486" s="719"/>
      <c r="L486" s="719"/>
      <c r="M486" s="719"/>
    </row>
    <row r="487" spans="1:13" s="51" customFormat="1" x14ac:dyDescent="0.3">
      <c r="A487" s="905" t="s">
        <v>124</v>
      </c>
      <c r="B487" s="905"/>
      <c r="C487" s="905"/>
      <c r="D487" s="905"/>
      <c r="E487" s="905"/>
      <c r="F487" s="905"/>
      <c r="G487" s="905"/>
      <c r="H487" s="905"/>
      <c r="I487" s="905"/>
      <c r="J487" s="719"/>
      <c r="K487" s="719"/>
      <c r="L487" s="719"/>
      <c r="M487" s="719"/>
    </row>
    <row r="488" spans="1:13" s="51" customFormat="1" x14ac:dyDescent="0.3">
      <c r="A488" s="719"/>
      <c r="B488" s="719"/>
      <c r="C488" s="719"/>
      <c r="D488" s="719"/>
      <c r="E488" s="719"/>
      <c r="F488" s="719"/>
      <c r="G488" s="719"/>
      <c r="H488" s="719"/>
      <c r="I488" s="719"/>
      <c r="J488" s="719"/>
      <c r="K488" s="719"/>
      <c r="L488" s="719"/>
      <c r="M488" s="719"/>
    </row>
    <row r="489" spans="1:13" s="51" customFormat="1" ht="75" x14ac:dyDescent="0.3">
      <c r="A489" s="720" t="s">
        <v>9</v>
      </c>
      <c r="B489" s="883" t="s">
        <v>10</v>
      </c>
      <c r="C489" s="883"/>
      <c r="D489" s="883"/>
      <c r="E489" s="883"/>
      <c r="F489" s="826" t="s">
        <v>11</v>
      </c>
      <c r="G489" s="883" t="s">
        <v>12</v>
      </c>
      <c r="H489" s="883"/>
      <c r="I489" s="826" t="s">
        <v>13</v>
      </c>
      <c r="J489" s="719"/>
      <c r="K489" s="719"/>
      <c r="L489" s="719"/>
      <c r="M489" s="719"/>
    </row>
    <row r="490" spans="1:13" s="51" customFormat="1" x14ac:dyDescent="0.3">
      <c r="A490" s="825">
        <v>1</v>
      </c>
      <c r="B490" s="884">
        <v>2</v>
      </c>
      <c r="C490" s="884"/>
      <c r="D490" s="884"/>
      <c r="E490" s="884"/>
      <c r="F490" s="825">
        <v>3</v>
      </c>
      <c r="G490" s="884">
        <v>4</v>
      </c>
      <c r="H490" s="884"/>
      <c r="I490" s="825">
        <v>5</v>
      </c>
      <c r="J490" s="719"/>
      <c r="K490" s="719"/>
      <c r="L490" s="719"/>
      <c r="M490" s="719"/>
    </row>
    <row r="491" spans="1:13" s="51" customFormat="1" x14ac:dyDescent="0.3">
      <c r="A491" s="900" t="s">
        <v>18</v>
      </c>
      <c r="B491" s="900"/>
      <c r="C491" s="900"/>
      <c r="D491" s="900"/>
      <c r="E491" s="900"/>
      <c r="F491" s="900"/>
      <c r="G491" s="900"/>
      <c r="H491" s="900"/>
      <c r="I491" s="900"/>
      <c r="J491" s="719"/>
      <c r="K491" s="719"/>
      <c r="L491" s="719"/>
      <c r="M491" s="719"/>
    </row>
    <row r="492" spans="1:13" s="51" customFormat="1" x14ac:dyDescent="0.3">
      <c r="A492" s="895" t="s">
        <v>14</v>
      </c>
      <c r="B492" s="895"/>
      <c r="C492" s="895"/>
      <c r="D492" s="895"/>
      <c r="E492" s="895"/>
      <c r="F492" s="895"/>
      <c r="G492" s="895"/>
      <c r="H492" s="895"/>
      <c r="I492" s="895"/>
      <c r="J492" s="719"/>
      <c r="K492" s="719"/>
      <c r="L492" s="719"/>
      <c r="M492" s="719"/>
    </row>
    <row r="493" spans="1:13" s="51" customFormat="1" x14ac:dyDescent="0.3">
      <c r="A493" s="825">
        <v>1</v>
      </c>
      <c r="B493" s="880" t="str">
        <f>ЦКС!B43</f>
        <v>Директор</v>
      </c>
      <c r="C493" s="881"/>
      <c r="D493" s="881"/>
      <c r="E493" s="882"/>
      <c r="F493" s="826" t="s">
        <v>162</v>
      </c>
      <c r="G493" s="908">
        <f>ЦКС!E24</f>
        <v>0.44204851752021562</v>
      </c>
      <c r="H493" s="908"/>
      <c r="I493" s="825" t="s">
        <v>163</v>
      </c>
      <c r="J493" s="719"/>
      <c r="K493" s="719"/>
      <c r="L493" s="719"/>
      <c r="M493" s="719"/>
    </row>
    <row r="494" spans="1:13" s="51" customFormat="1" x14ac:dyDescent="0.3">
      <c r="A494" s="825">
        <v>2</v>
      </c>
      <c r="B494" s="880" t="str">
        <f>ЦКС!B44</f>
        <v>Художественный руководитель</v>
      </c>
      <c r="C494" s="881"/>
      <c r="D494" s="881"/>
      <c r="E494" s="882"/>
      <c r="F494" s="826" t="s">
        <v>162</v>
      </c>
      <c r="G494" s="908">
        <f>ЦКС!E25</f>
        <v>0.88409703504043125</v>
      </c>
      <c r="H494" s="908"/>
      <c r="I494" s="825" t="s">
        <v>163</v>
      </c>
      <c r="J494" s="719"/>
      <c r="K494" s="719"/>
      <c r="L494" s="719"/>
      <c r="M494" s="719"/>
    </row>
    <row r="495" spans="1:13" s="51" customFormat="1" x14ac:dyDescent="0.3">
      <c r="A495" s="825">
        <v>3</v>
      </c>
      <c r="B495" s="880" t="str">
        <f>ЦКС!B45</f>
        <v>Звукооператор</v>
      </c>
      <c r="C495" s="881"/>
      <c r="D495" s="881"/>
      <c r="E495" s="882"/>
      <c r="F495" s="826" t="s">
        <v>162</v>
      </c>
      <c r="G495" s="908">
        <f>ЦКС!E26</f>
        <v>1.52</v>
      </c>
      <c r="H495" s="908"/>
      <c r="I495" s="825" t="s">
        <v>163</v>
      </c>
      <c r="J495" s="719"/>
      <c r="K495" s="719"/>
      <c r="L495" s="719"/>
      <c r="M495" s="719"/>
    </row>
    <row r="496" spans="1:13" s="51" customFormat="1" x14ac:dyDescent="0.3">
      <c r="A496" s="825">
        <v>4</v>
      </c>
      <c r="B496" s="880" t="str">
        <f>ЦКС!B46</f>
        <v>Редактор клубного учреждения</v>
      </c>
      <c r="C496" s="881"/>
      <c r="D496" s="881"/>
      <c r="E496" s="882"/>
      <c r="F496" s="826" t="s">
        <v>162</v>
      </c>
      <c r="G496" s="908">
        <f>ЦКС!E27</f>
        <v>3.04</v>
      </c>
      <c r="H496" s="908"/>
      <c r="I496" s="825" t="s">
        <v>163</v>
      </c>
      <c r="J496" s="719"/>
      <c r="K496" s="719"/>
      <c r="L496" s="719"/>
      <c r="M496" s="719"/>
    </row>
    <row r="497" spans="1:13" s="51" customFormat="1" x14ac:dyDescent="0.3">
      <c r="A497" s="825">
        <v>5</v>
      </c>
      <c r="B497" s="880" t="str">
        <f>ЦКС!B47</f>
        <v>Художник - оформитель</v>
      </c>
      <c r="C497" s="881"/>
      <c r="D497" s="881"/>
      <c r="E497" s="882"/>
      <c r="F497" s="826" t="s">
        <v>162</v>
      </c>
      <c r="G497" s="908">
        <f>ЦКС!E28</f>
        <v>1.52</v>
      </c>
      <c r="H497" s="908"/>
      <c r="I497" s="825" t="s">
        <v>163</v>
      </c>
      <c r="J497" s="719"/>
      <c r="K497" s="719"/>
      <c r="L497" s="719"/>
      <c r="M497" s="719"/>
    </row>
    <row r="498" spans="1:13" s="51" customFormat="1" x14ac:dyDescent="0.3">
      <c r="A498" s="825">
        <v>6</v>
      </c>
      <c r="B498" s="880" t="str">
        <f>ЦКС!B48</f>
        <v>Художник по свету</v>
      </c>
      <c r="C498" s="881"/>
      <c r="D498" s="881"/>
      <c r="E498" s="882"/>
      <c r="F498" s="826" t="s">
        <v>162</v>
      </c>
      <c r="G498" s="908">
        <f>ЦКС!E29</f>
        <v>0.76</v>
      </c>
      <c r="H498" s="908"/>
      <c r="I498" s="825" t="s">
        <v>163</v>
      </c>
      <c r="J498" s="719"/>
      <c r="K498" s="719"/>
      <c r="L498" s="719"/>
      <c r="M498" s="719"/>
    </row>
    <row r="499" spans="1:13" s="51" customFormat="1" x14ac:dyDescent="0.3">
      <c r="A499" s="825">
        <v>7</v>
      </c>
      <c r="B499" s="880" t="str">
        <f>ЦКС!B49</f>
        <v>Руководитель кукольного кружка</v>
      </c>
      <c r="C499" s="881"/>
      <c r="D499" s="881"/>
      <c r="E499" s="882"/>
      <c r="F499" s="826" t="s">
        <v>162</v>
      </c>
      <c r="G499" s="908">
        <f>ЦКС!E30</f>
        <v>1.52</v>
      </c>
      <c r="H499" s="908"/>
      <c r="I499" s="825" t="s">
        <v>163</v>
      </c>
      <c r="J499" s="719"/>
      <c r="K499" s="719"/>
      <c r="L499" s="719"/>
      <c r="M499" s="719"/>
    </row>
    <row r="500" spans="1:13" s="51" customFormat="1" x14ac:dyDescent="0.3">
      <c r="A500" s="825">
        <v>8</v>
      </c>
      <c r="B500" s="880" t="str">
        <f>ЦКС!B50</f>
        <v>Руководитель кружка</v>
      </c>
      <c r="C500" s="881"/>
      <c r="D500" s="881"/>
      <c r="E500" s="882"/>
      <c r="F500" s="826" t="s">
        <v>162</v>
      </c>
      <c r="G500" s="908">
        <f>ЦКС!E31</f>
        <v>4.5600000000000005</v>
      </c>
      <c r="H500" s="908"/>
      <c r="I500" s="825" t="s">
        <v>163</v>
      </c>
      <c r="J500" s="719"/>
      <c r="K500" s="719"/>
      <c r="L500" s="719"/>
      <c r="M500" s="719"/>
    </row>
    <row r="501" spans="1:13" s="51" customFormat="1" x14ac:dyDescent="0.3">
      <c r="A501" s="825">
        <v>9</v>
      </c>
      <c r="B501" s="880" t="str">
        <f>ЦКС!B51</f>
        <v>Зав. костюмерной</v>
      </c>
      <c r="C501" s="881"/>
      <c r="D501" s="881"/>
      <c r="E501" s="882"/>
      <c r="F501" s="826" t="s">
        <v>162</v>
      </c>
      <c r="G501" s="908">
        <f>ЦКС!E32</f>
        <v>1.52</v>
      </c>
      <c r="H501" s="908"/>
      <c r="I501" s="825" t="s">
        <v>163</v>
      </c>
      <c r="J501" s="719"/>
      <c r="K501" s="719"/>
      <c r="L501" s="719"/>
      <c r="M501" s="719"/>
    </row>
    <row r="502" spans="1:13" s="51" customFormat="1" x14ac:dyDescent="0.3">
      <c r="A502" s="825">
        <v>10</v>
      </c>
      <c r="B502" s="880" t="str">
        <f>ЦКС!B52</f>
        <v>культ организатор</v>
      </c>
      <c r="C502" s="881"/>
      <c r="D502" s="881"/>
      <c r="E502" s="882"/>
      <c r="F502" s="826" t="s">
        <v>162</v>
      </c>
      <c r="G502" s="908">
        <f>ЦКС!E33</f>
        <v>1.52</v>
      </c>
      <c r="H502" s="908"/>
      <c r="I502" s="825" t="s">
        <v>163</v>
      </c>
      <c r="J502" s="719"/>
      <c r="K502" s="719"/>
      <c r="L502" s="719"/>
      <c r="M502" s="719"/>
    </row>
    <row r="503" spans="1:13" s="51" customFormat="1" x14ac:dyDescent="0.3">
      <c r="A503" s="825">
        <v>11</v>
      </c>
      <c r="B503" s="880" t="str">
        <f>ЦКС!B53</f>
        <v>хормейстер</v>
      </c>
      <c r="C503" s="881"/>
      <c r="D503" s="881"/>
      <c r="E503" s="882"/>
      <c r="F503" s="826" t="s">
        <v>162</v>
      </c>
      <c r="G503" s="908">
        <f>ЦКС!E34</f>
        <v>5.32</v>
      </c>
      <c r="H503" s="908"/>
      <c r="I503" s="825" t="s">
        <v>163</v>
      </c>
      <c r="J503" s="719"/>
      <c r="K503" s="719"/>
      <c r="L503" s="719"/>
      <c r="M503" s="719"/>
    </row>
    <row r="504" spans="1:13" s="51" customFormat="1" x14ac:dyDescent="0.3">
      <c r="A504" s="825">
        <v>12</v>
      </c>
      <c r="B504" s="880" t="str">
        <f>ЦКС!B54</f>
        <v>Балетмейстер-постановщик</v>
      </c>
      <c r="C504" s="881"/>
      <c r="D504" s="881"/>
      <c r="E504" s="882"/>
      <c r="F504" s="826" t="s">
        <v>162</v>
      </c>
      <c r="G504" s="908">
        <f>ЦКС!E35</f>
        <v>1.52</v>
      </c>
      <c r="H504" s="908"/>
      <c r="I504" s="825" t="s">
        <v>163</v>
      </c>
      <c r="J504" s="719"/>
      <c r="K504" s="719"/>
      <c r="L504" s="719"/>
      <c r="M504" s="719"/>
    </row>
    <row r="505" spans="1:13" s="51" customFormat="1" x14ac:dyDescent="0.3">
      <c r="A505" s="825">
        <v>13</v>
      </c>
      <c r="B505" s="880" t="str">
        <f>ЦКС!B55</f>
        <v>Режиссер- постановщик театра</v>
      </c>
      <c r="C505" s="881"/>
      <c r="D505" s="881"/>
      <c r="E505" s="882"/>
      <c r="F505" s="826" t="s">
        <v>162</v>
      </c>
      <c r="G505" s="908">
        <f>ЦКС!E36</f>
        <v>1.52</v>
      </c>
      <c r="H505" s="908"/>
      <c r="I505" s="825" t="s">
        <v>163</v>
      </c>
      <c r="J505" s="719"/>
      <c r="K505" s="719"/>
      <c r="L505" s="719"/>
      <c r="M505" s="719"/>
    </row>
    <row r="506" spans="1:13" s="51" customFormat="1" x14ac:dyDescent="0.3">
      <c r="A506" s="825">
        <v>14</v>
      </c>
      <c r="B506" s="880" t="str">
        <f>ЦКС!B56</f>
        <v>Режиссер массовых представлений</v>
      </c>
      <c r="C506" s="881"/>
      <c r="D506" s="881"/>
      <c r="E506" s="882"/>
      <c r="F506" s="826" t="s">
        <v>162</v>
      </c>
      <c r="G506" s="908">
        <f>ЦКС!E37</f>
        <v>4.5600000000000005</v>
      </c>
      <c r="H506" s="908"/>
      <c r="I506" s="825" t="s">
        <v>163</v>
      </c>
      <c r="J506" s="719"/>
      <c r="K506" s="719"/>
      <c r="L506" s="719"/>
      <c r="M506" s="719"/>
    </row>
    <row r="507" spans="1:13" s="51" customFormat="1" x14ac:dyDescent="0.3">
      <c r="A507" s="895" t="s">
        <v>15</v>
      </c>
      <c r="B507" s="895"/>
      <c r="C507" s="895"/>
      <c r="D507" s="895"/>
      <c r="E507" s="895"/>
      <c r="F507" s="895"/>
      <c r="G507" s="895"/>
      <c r="H507" s="895"/>
      <c r="I507" s="895"/>
      <c r="J507" s="719"/>
      <c r="K507" s="719"/>
      <c r="L507" s="719"/>
      <c r="M507" s="719"/>
    </row>
    <row r="508" spans="1:13" s="51" customFormat="1" x14ac:dyDescent="0.3">
      <c r="A508" s="825">
        <v>1</v>
      </c>
      <c r="B508" s="885" t="str">
        <f>'ЦКС 2'!A33</f>
        <v>бумага офисная</v>
      </c>
      <c r="C508" s="885"/>
      <c r="D508" s="885"/>
      <c r="E508" s="885"/>
      <c r="F508" s="825" t="str">
        <f>'ЦКС 2'!L33</f>
        <v>уп.</v>
      </c>
      <c r="G508" s="909">
        <f>'ЦКС 2'!M19</f>
        <v>2.0215633423180591E-2</v>
      </c>
      <c r="H508" s="909"/>
      <c r="I508" s="825">
        <v>1</v>
      </c>
      <c r="J508" s="719"/>
      <c r="K508" s="719"/>
      <c r="L508" s="719"/>
      <c r="M508" s="719"/>
    </row>
    <row r="509" spans="1:13" s="51" customFormat="1" ht="18" customHeight="1" x14ac:dyDescent="0.3">
      <c r="A509" s="825">
        <v>2</v>
      </c>
      <c r="B509" s="885" t="str">
        <f>'ЦКС 2'!A34</f>
        <v>Вкладыш в папку-скоросшиватель</v>
      </c>
      <c r="C509" s="885"/>
      <c r="D509" s="885"/>
      <c r="E509" s="885"/>
      <c r="F509" s="825" t="str">
        <f>'ЦКС 2'!L34</f>
        <v>шт.</v>
      </c>
      <c r="G509" s="909">
        <f>'ЦКС 2'!M20</f>
        <v>0.40431266846361186</v>
      </c>
      <c r="H509" s="909"/>
      <c r="I509" s="825">
        <v>1</v>
      </c>
      <c r="J509" s="719"/>
      <c r="K509" s="719"/>
      <c r="L509" s="719"/>
      <c r="M509" s="719"/>
    </row>
    <row r="510" spans="1:13" s="51" customFormat="1" ht="15.75" customHeight="1" x14ac:dyDescent="0.3">
      <c r="A510" s="825">
        <v>3</v>
      </c>
      <c r="B510" s="885" t="str">
        <f>'ЦКС 2'!A35</f>
        <v>папка-скоросшиватель</v>
      </c>
      <c r="C510" s="885"/>
      <c r="D510" s="885"/>
      <c r="E510" s="885"/>
      <c r="F510" s="825" t="str">
        <f>'ЦКС 2'!L35</f>
        <v>шт.</v>
      </c>
      <c r="G510" s="909">
        <f>'ЦКС 2'!M21</f>
        <v>2.0215633423180591E-2</v>
      </c>
      <c r="H510" s="909"/>
      <c r="I510" s="825">
        <v>1</v>
      </c>
      <c r="J510" s="719"/>
      <c r="K510" s="719"/>
      <c r="L510" s="719"/>
      <c r="M510" s="719"/>
    </row>
    <row r="511" spans="1:13" s="51" customFormat="1" x14ac:dyDescent="0.3">
      <c r="A511" s="825">
        <v>4</v>
      </c>
      <c r="B511" s="885" t="str">
        <f>'ЦКС 2'!A36</f>
        <v>ручка офисная</v>
      </c>
      <c r="C511" s="885"/>
      <c r="D511" s="885"/>
      <c r="E511" s="885"/>
      <c r="F511" s="825" t="str">
        <f>'ЦКС 2'!L36</f>
        <v>шт.</v>
      </c>
      <c r="G511" s="909">
        <f>'ЦКС 2'!M22</f>
        <v>1.3477088948787063E-2</v>
      </c>
      <c r="H511" s="909"/>
      <c r="I511" s="825">
        <v>1</v>
      </c>
      <c r="J511" s="719"/>
      <c r="K511" s="719"/>
      <c r="L511" s="719"/>
      <c r="M511" s="719"/>
    </row>
    <row r="512" spans="1:13" s="51" customFormat="1" x14ac:dyDescent="0.3">
      <c r="A512" s="825">
        <v>5</v>
      </c>
      <c r="B512" s="885" t="str">
        <f>'ЦКС 2'!A37</f>
        <v>карандаш</v>
      </c>
      <c r="C512" s="885"/>
      <c r="D512" s="885"/>
      <c r="E512" s="885"/>
      <c r="F512" s="825" t="str">
        <f>'ЦКС 2'!L37</f>
        <v>шт.</v>
      </c>
      <c r="G512" s="909">
        <f>'ЦКС 2'!M23</f>
        <v>2.2911051212938006E-2</v>
      </c>
      <c r="H512" s="909"/>
      <c r="I512" s="825">
        <v>1</v>
      </c>
      <c r="J512" s="719"/>
      <c r="K512" s="719"/>
      <c r="L512" s="719"/>
      <c r="M512" s="719"/>
    </row>
    <row r="513" spans="1:13" s="51" customFormat="1" x14ac:dyDescent="0.3">
      <c r="A513" s="825">
        <v>6</v>
      </c>
      <c r="B513" s="885" t="str">
        <f>'ЦКС 2'!A38</f>
        <v>клей</v>
      </c>
      <c r="C513" s="885"/>
      <c r="D513" s="885"/>
      <c r="E513" s="885"/>
      <c r="F513" s="825" t="str">
        <f>'ЦКС 2'!L38</f>
        <v>шт.</v>
      </c>
      <c r="G513" s="909">
        <f>'ЦКС 2'!M24</f>
        <v>6.7385444743935314E-3</v>
      </c>
      <c r="H513" s="909"/>
      <c r="I513" s="825">
        <v>1</v>
      </c>
      <c r="J513" s="719"/>
      <c r="K513" s="719"/>
      <c r="L513" s="719"/>
      <c r="M513" s="719"/>
    </row>
    <row r="514" spans="1:13" s="51" customFormat="1" x14ac:dyDescent="0.3">
      <c r="A514" s="825">
        <v>7</v>
      </c>
      <c r="B514" s="885" t="str">
        <f>'ЦКС 2'!A39</f>
        <v>бумажные стикеры для заметок</v>
      </c>
      <c r="C514" s="885"/>
      <c r="D514" s="885"/>
      <c r="E514" s="885"/>
      <c r="F514" s="825" t="str">
        <f>'ЦКС 2'!L39</f>
        <v>шт.</v>
      </c>
      <c r="G514" s="909">
        <f>'ЦКС 2'!M25</f>
        <v>6.7385444743935314E-3</v>
      </c>
      <c r="H514" s="909"/>
      <c r="I514" s="825">
        <v>1</v>
      </c>
      <c r="J514" s="719"/>
      <c r="K514" s="719"/>
      <c r="L514" s="719"/>
      <c r="M514" s="719"/>
    </row>
    <row r="515" spans="1:13" s="51" customFormat="1" ht="32.25" customHeight="1" x14ac:dyDescent="0.3">
      <c r="A515" s="825">
        <v>8</v>
      </c>
      <c r="B515" s="885" t="str">
        <f>'ЦКС 2'!A40</f>
        <v>расходы на полиграфическую продукцию</v>
      </c>
      <c r="C515" s="885"/>
      <c r="D515" s="885"/>
      <c r="E515" s="885"/>
      <c r="F515" s="825" t="str">
        <f>'ЦКС 2'!L40</f>
        <v>шт.</v>
      </c>
      <c r="G515" s="909">
        <f>'ЦКС 2'!M26</f>
        <v>6.7385444743935314E-3</v>
      </c>
      <c r="H515" s="909"/>
      <c r="I515" s="825">
        <v>1</v>
      </c>
      <c r="J515" s="719"/>
      <c r="K515" s="719"/>
      <c r="L515" s="719"/>
      <c r="M515" s="719"/>
    </row>
    <row r="516" spans="1:13" s="51" customFormat="1" x14ac:dyDescent="0.3">
      <c r="A516" s="895" t="s">
        <v>16</v>
      </c>
      <c r="B516" s="895"/>
      <c r="C516" s="895"/>
      <c r="D516" s="895"/>
      <c r="E516" s="895"/>
      <c r="F516" s="895"/>
      <c r="G516" s="895"/>
      <c r="H516" s="895"/>
      <c r="I516" s="895"/>
      <c r="J516" s="719"/>
      <c r="K516" s="719"/>
      <c r="L516" s="719"/>
      <c r="M516" s="719"/>
    </row>
    <row r="517" spans="1:13" s="51" customFormat="1" x14ac:dyDescent="0.3">
      <c r="A517" s="825"/>
      <c r="B517" s="884"/>
      <c r="C517" s="884"/>
      <c r="D517" s="884"/>
      <c r="E517" s="884"/>
      <c r="F517" s="825"/>
      <c r="G517" s="884"/>
      <c r="H517" s="884"/>
      <c r="I517" s="825"/>
      <c r="J517" s="719"/>
      <c r="K517" s="719"/>
      <c r="L517" s="719"/>
      <c r="M517" s="719"/>
    </row>
    <row r="518" spans="1:13" s="51" customFormat="1" x14ac:dyDescent="0.3">
      <c r="A518" s="825"/>
      <c r="B518" s="884"/>
      <c r="C518" s="884"/>
      <c r="D518" s="884"/>
      <c r="E518" s="884"/>
      <c r="F518" s="825"/>
      <c r="G518" s="884"/>
      <c r="H518" s="884"/>
      <c r="I518" s="825"/>
      <c r="J518" s="719"/>
      <c r="K518" s="719"/>
      <c r="L518" s="719"/>
      <c r="M518" s="719"/>
    </row>
    <row r="519" spans="1:13" s="51" customFormat="1" x14ac:dyDescent="0.3">
      <c r="A519" s="899" t="s">
        <v>17</v>
      </c>
      <c r="B519" s="883"/>
      <c r="C519" s="883"/>
      <c r="D519" s="883"/>
      <c r="E519" s="883"/>
      <c r="F519" s="883"/>
      <c r="G519" s="883"/>
      <c r="H519" s="883"/>
      <c r="I519" s="883"/>
      <c r="J519" s="719"/>
      <c r="K519" s="719"/>
      <c r="L519" s="719"/>
      <c r="M519" s="719"/>
    </row>
    <row r="520" spans="1:13" s="51" customFormat="1" x14ac:dyDescent="0.3">
      <c r="A520" s="896" t="s">
        <v>19</v>
      </c>
      <c r="B520" s="897"/>
      <c r="C520" s="897"/>
      <c r="D520" s="897"/>
      <c r="E520" s="897"/>
      <c r="F520" s="897"/>
      <c r="G520" s="897"/>
      <c r="H520" s="897"/>
      <c r="I520" s="898"/>
      <c r="J520" s="719"/>
      <c r="K520" s="719"/>
      <c r="L520" s="719"/>
      <c r="M520" s="719"/>
    </row>
    <row r="521" spans="1:13" s="51" customFormat="1" x14ac:dyDescent="0.3">
      <c r="A521" s="825">
        <v>1</v>
      </c>
      <c r="B521" s="885" t="str">
        <f>'ЦКС 3'!A27</f>
        <v>Административно-управленческий персонал</v>
      </c>
      <c r="C521" s="885"/>
      <c r="D521" s="885"/>
      <c r="E521" s="885"/>
      <c r="F521" s="826" t="s">
        <v>162</v>
      </c>
      <c r="G521" s="908">
        <f>'нормативные 3'!G531:H531</f>
        <v>0.44204851752021562</v>
      </c>
      <c r="H521" s="908"/>
      <c r="I521" s="825" t="s">
        <v>163</v>
      </c>
      <c r="J521" s="719"/>
      <c r="K521" s="719"/>
      <c r="L521" s="719"/>
      <c r="M521" s="719"/>
    </row>
    <row r="522" spans="1:13" s="51" customFormat="1" ht="24.75" customHeight="1" x14ac:dyDescent="0.3">
      <c r="A522" s="825">
        <v>2</v>
      </c>
      <c r="B522" s="885" t="str">
        <f>'ЦКС 3'!A28</f>
        <v>Прочий обслуживающий персонал</v>
      </c>
      <c r="C522" s="885"/>
      <c r="D522" s="885"/>
      <c r="E522" s="885"/>
      <c r="F522" s="826" t="s">
        <v>162</v>
      </c>
      <c r="G522" s="908">
        <f>'нормативные 3'!G532:H532</f>
        <v>13.703504043126685</v>
      </c>
      <c r="H522" s="908"/>
      <c r="I522" s="825" t="s">
        <v>163</v>
      </c>
      <c r="J522" s="719"/>
      <c r="K522" s="719"/>
      <c r="L522" s="719"/>
      <c r="M522" s="719"/>
    </row>
    <row r="523" spans="1:13" s="51" customFormat="1" x14ac:dyDescent="0.3">
      <c r="A523" s="825"/>
      <c r="B523" s="884"/>
      <c r="C523" s="884"/>
      <c r="D523" s="884"/>
      <c r="E523" s="884"/>
      <c r="F523" s="825"/>
      <c r="G523" s="884"/>
      <c r="H523" s="884"/>
      <c r="I523" s="825"/>
      <c r="J523" s="719"/>
      <c r="K523" s="719"/>
      <c r="L523" s="719"/>
      <c r="M523" s="719"/>
    </row>
    <row r="524" spans="1:13" s="51" customFormat="1" x14ac:dyDescent="0.3">
      <c r="A524" s="896" t="s">
        <v>20</v>
      </c>
      <c r="B524" s="897"/>
      <c r="C524" s="897"/>
      <c r="D524" s="897"/>
      <c r="E524" s="897"/>
      <c r="F524" s="897"/>
      <c r="G524" s="897"/>
      <c r="H524" s="897"/>
      <c r="I524" s="898"/>
      <c r="J524" s="719"/>
      <c r="K524" s="719"/>
      <c r="L524" s="719"/>
      <c r="M524" s="719"/>
    </row>
    <row r="525" spans="1:13" s="51" customFormat="1" x14ac:dyDescent="0.3">
      <c r="A525" s="825">
        <v>1</v>
      </c>
      <c r="B525" s="885" t="str">
        <f>'ЦКС 3'!A6</f>
        <v>оплата потребления газа</v>
      </c>
      <c r="C525" s="885"/>
      <c r="D525" s="885"/>
      <c r="E525" s="885"/>
      <c r="F525" s="825" t="str">
        <f>'ЦКС 3'!U6</f>
        <v>м. куб</v>
      </c>
      <c r="G525" s="909">
        <f>'нормативные 3'!G535:H535</f>
        <v>3.3288409703504045E-2</v>
      </c>
      <c r="H525" s="909"/>
      <c r="I525" s="825" t="s">
        <v>163</v>
      </c>
      <c r="J525" s="719"/>
      <c r="K525" s="719"/>
      <c r="L525" s="719"/>
      <c r="M525" s="719"/>
    </row>
    <row r="526" spans="1:13" s="51" customFormat="1" x14ac:dyDescent="0.3">
      <c r="A526" s="825">
        <v>2</v>
      </c>
      <c r="B526" s="885" t="str">
        <f>'ЦКС 3'!A7</f>
        <v>оплата потребления электрической энергии</v>
      </c>
      <c r="C526" s="885"/>
      <c r="D526" s="885"/>
      <c r="E526" s="885"/>
      <c r="F526" s="825" t="str">
        <f>'ЦКС 3'!U7</f>
        <v>Квт/ч</v>
      </c>
      <c r="G526" s="909">
        <f>'нормативные 3'!G536:H536</f>
        <v>18.611859838274931</v>
      </c>
      <c r="H526" s="909"/>
      <c r="I526" s="825" t="s">
        <v>163</v>
      </c>
      <c r="J526" s="719"/>
      <c r="K526" s="719"/>
      <c r="L526" s="719"/>
      <c r="M526" s="719"/>
    </row>
    <row r="527" spans="1:13" s="51" customFormat="1" x14ac:dyDescent="0.3">
      <c r="A527" s="825">
        <v>3</v>
      </c>
      <c r="B527" s="885" t="str">
        <f>'ЦКС 3'!A8</f>
        <v>оплата потребления водоснабжения</v>
      </c>
      <c r="C527" s="885"/>
      <c r="D527" s="885"/>
      <c r="E527" s="885"/>
      <c r="F527" s="825" t="str">
        <f>'ЦКС 3'!U8</f>
        <v>м. куб</v>
      </c>
      <c r="G527" s="909">
        <f>'нормативные 3'!G537:H537</f>
        <v>0.16846361185983827</v>
      </c>
      <c r="H527" s="909"/>
      <c r="I527" s="825" t="s">
        <v>163</v>
      </c>
      <c r="J527" s="719"/>
      <c r="K527" s="719"/>
      <c r="L527" s="719"/>
      <c r="M527" s="719"/>
    </row>
    <row r="528" spans="1:13" s="51" customFormat="1" x14ac:dyDescent="0.3">
      <c r="A528" s="825"/>
      <c r="B528" s="884"/>
      <c r="C528" s="884"/>
      <c r="D528" s="884"/>
      <c r="E528" s="884"/>
      <c r="F528" s="825"/>
      <c r="G528" s="884"/>
      <c r="H528" s="884"/>
      <c r="I528" s="825"/>
      <c r="J528" s="719"/>
      <c r="K528" s="719"/>
      <c r="L528" s="719"/>
      <c r="M528" s="719"/>
    </row>
    <row r="529" spans="1:13" s="51" customFormat="1" x14ac:dyDescent="0.3">
      <c r="A529" s="900" t="s">
        <v>21</v>
      </c>
      <c r="B529" s="895"/>
      <c r="C529" s="895"/>
      <c r="D529" s="895"/>
      <c r="E529" s="895"/>
      <c r="F529" s="895"/>
      <c r="G529" s="895"/>
      <c r="H529" s="895"/>
      <c r="I529" s="895"/>
      <c r="J529" s="719"/>
      <c r="K529" s="719"/>
      <c r="L529" s="719"/>
      <c r="M529" s="719"/>
    </row>
    <row r="530" spans="1:13" s="51" customFormat="1" ht="106.5" customHeight="1" x14ac:dyDescent="0.3">
      <c r="A530" s="825">
        <v>1</v>
      </c>
      <c r="B530" s="885" t="str">
        <f>'ЦКС 3'!A11</f>
        <v>Техническое обслуживание и регламентно-профилактический ремонт систем охранно-тревожной сигнализации, системы видеонаблюдения, пожарной сигнализации, средств пожаротушения</v>
      </c>
      <c r="C530" s="885"/>
      <c r="D530" s="885"/>
      <c r="E530" s="885"/>
      <c r="F530" s="825" t="str">
        <f>'ЦКС 3'!U11</f>
        <v>договор</v>
      </c>
      <c r="G530" s="911">
        <f>'нормативные 3'!G540:H540</f>
        <v>1.25E-3</v>
      </c>
      <c r="H530" s="911"/>
      <c r="I530" s="825" t="s">
        <v>163</v>
      </c>
      <c r="J530" s="719"/>
      <c r="K530" s="719"/>
      <c r="L530" s="719"/>
      <c r="M530" s="719"/>
    </row>
    <row r="531" spans="1:13" s="51" customFormat="1" ht="44.25" customHeight="1" x14ac:dyDescent="0.3">
      <c r="A531" s="825">
        <v>2</v>
      </c>
      <c r="B531" s="885" t="str">
        <f>'ЦКС 3'!A12</f>
        <v>Реагирование на соообщения о срабатывании тревожной сигнализации</v>
      </c>
      <c r="C531" s="885"/>
      <c r="D531" s="885"/>
      <c r="E531" s="885"/>
      <c r="F531" s="825" t="str">
        <f>'ЦКС 3'!U12</f>
        <v>договор</v>
      </c>
      <c r="G531" s="911">
        <f>'нормативные 3'!G541:H541</f>
        <v>1.25E-3</v>
      </c>
      <c r="H531" s="911"/>
      <c r="I531" s="825" t="s">
        <v>163</v>
      </c>
      <c r="J531" s="719"/>
      <c r="K531" s="719"/>
      <c r="L531" s="719"/>
      <c r="M531" s="719"/>
    </row>
    <row r="532" spans="1:13" s="51" customFormat="1" ht="35.25" customHeight="1" x14ac:dyDescent="0.3">
      <c r="A532" s="825">
        <v>3</v>
      </c>
      <c r="B532" s="885" t="str">
        <f>'ЦКС 3'!A13</f>
        <v>Тех обслуживание сети газораспределения</v>
      </c>
      <c r="C532" s="885"/>
      <c r="D532" s="885"/>
      <c r="E532" s="885"/>
      <c r="F532" s="825" t="str">
        <f>'ЦКС 3'!U13</f>
        <v>договор</v>
      </c>
      <c r="G532" s="911">
        <f>'нормативные 3'!G542:H542</f>
        <v>1.25E-3</v>
      </c>
      <c r="H532" s="911"/>
      <c r="I532" s="825" t="s">
        <v>163</v>
      </c>
      <c r="J532" s="719"/>
      <c r="K532" s="719"/>
      <c r="L532" s="719"/>
      <c r="M532" s="719"/>
    </row>
    <row r="533" spans="1:13" s="51" customFormat="1" ht="33" customHeight="1" x14ac:dyDescent="0.3">
      <c r="A533" s="825">
        <v>4</v>
      </c>
      <c r="B533" s="885" t="str">
        <f>'ЦКС 3'!A15</f>
        <v>Вывоз твердых бытовых отходов, утилизация отходов</v>
      </c>
      <c r="C533" s="885"/>
      <c r="D533" s="885"/>
      <c r="E533" s="885"/>
      <c r="F533" s="825" t="str">
        <f>'ЦКС 3'!U15</f>
        <v>договор</v>
      </c>
      <c r="G533" s="911">
        <f>'нормативные 3'!G544:H544</f>
        <v>1.25E-3</v>
      </c>
      <c r="H533" s="911"/>
      <c r="I533" s="825" t="s">
        <v>163</v>
      </c>
      <c r="J533" s="719"/>
      <c r="K533" s="719"/>
      <c r="L533" s="719"/>
      <c r="M533" s="719"/>
    </row>
    <row r="534" spans="1:13" s="51" customFormat="1" ht="31.5" customHeight="1" x14ac:dyDescent="0.3">
      <c r="A534" s="825">
        <v>5</v>
      </c>
      <c r="B534" s="885" t="s">
        <v>299</v>
      </c>
      <c r="C534" s="885"/>
      <c r="D534" s="885"/>
      <c r="E534" s="885"/>
      <c r="F534" s="825" t="str">
        <f>'ЦКС 3'!U15</f>
        <v>договор</v>
      </c>
      <c r="G534" s="911">
        <f>'нормативные 3'!G545:H545</f>
        <v>2.5000000000000001E-3</v>
      </c>
      <c r="H534" s="911"/>
      <c r="I534" s="825" t="s">
        <v>163</v>
      </c>
      <c r="J534" s="719"/>
      <c r="K534" s="719"/>
      <c r="L534" s="719"/>
      <c r="M534" s="719"/>
    </row>
    <row r="535" spans="1:13" s="51" customFormat="1" x14ac:dyDescent="0.3">
      <c r="A535" s="825"/>
      <c r="B535" s="884"/>
      <c r="C535" s="884"/>
      <c r="D535" s="884"/>
      <c r="E535" s="884"/>
      <c r="F535" s="825"/>
      <c r="G535" s="884"/>
      <c r="H535" s="884"/>
      <c r="I535" s="825"/>
      <c r="J535" s="719"/>
      <c r="K535" s="719"/>
      <c r="L535" s="719"/>
      <c r="M535" s="719"/>
    </row>
    <row r="536" spans="1:13" s="51" customFormat="1" x14ac:dyDescent="0.3">
      <c r="A536" s="825"/>
      <c r="B536" s="884"/>
      <c r="C536" s="884"/>
      <c r="D536" s="884"/>
      <c r="E536" s="884"/>
      <c r="F536" s="825"/>
      <c r="G536" s="884"/>
      <c r="H536" s="884"/>
      <c r="I536" s="825"/>
      <c r="J536" s="719"/>
      <c r="K536" s="719"/>
      <c r="L536" s="719"/>
      <c r="M536" s="719"/>
    </row>
    <row r="537" spans="1:13" s="51" customFormat="1" x14ac:dyDescent="0.3">
      <c r="A537" s="895" t="s">
        <v>22</v>
      </c>
      <c r="B537" s="895"/>
      <c r="C537" s="895"/>
      <c r="D537" s="895"/>
      <c r="E537" s="895"/>
      <c r="F537" s="895"/>
      <c r="G537" s="895"/>
      <c r="H537" s="895"/>
      <c r="I537" s="895"/>
      <c r="J537" s="719"/>
      <c r="K537" s="719"/>
      <c r="L537" s="719"/>
      <c r="M537" s="719"/>
    </row>
    <row r="538" spans="1:13" s="51" customFormat="1" x14ac:dyDescent="0.3">
      <c r="A538" s="825">
        <v>1</v>
      </c>
      <c r="B538" s="885" t="str">
        <f>'ЦКС 3'!A23</f>
        <v>интернет</v>
      </c>
      <c r="C538" s="885"/>
      <c r="D538" s="885"/>
      <c r="E538" s="885"/>
      <c r="F538" s="825" t="str">
        <f>'ЦКС 3'!U23</f>
        <v>Гб</v>
      </c>
      <c r="G538" s="909">
        <f>'нормативные 3'!G548:H548</f>
        <v>0.45013477088948789</v>
      </c>
      <c r="H538" s="909"/>
      <c r="I538" s="825" t="s">
        <v>163</v>
      </c>
      <c r="J538" s="719"/>
      <c r="K538" s="719"/>
      <c r="L538" s="719"/>
      <c r="M538" s="719"/>
    </row>
    <row r="539" spans="1:13" s="51" customFormat="1" x14ac:dyDescent="0.3">
      <c r="A539" s="825">
        <v>2</v>
      </c>
      <c r="B539" s="885" t="str">
        <f>'ЦКС 3'!A24</f>
        <v>услуги связи</v>
      </c>
      <c r="C539" s="885"/>
      <c r="D539" s="885"/>
      <c r="E539" s="885"/>
      <c r="F539" s="825" t="str">
        <f>'ЦКС 3'!U24</f>
        <v>мин.</v>
      </c>
      <c r="G539" s="909">
        <f>'нормативные 3'!G549:H549</f>
        <v>0.88948787061994605</v>
      </c>
      <c r="H539" s="909"/>
      <c r="I539" s="825" t="s">
        <v>163</v>
      </c>
      <c r="J539" s="719"/>
      <c r="K539" s="719"/>
      <c r="L539" s="719"/>
      <c r="M539" s="719"/>
    </row>
    <row r="540" spans="1:13" s="51" customFormat="1" x14ac:dyDescent="0.3">
      <c r="A540" s="825"/>
      <c r="B540" s="884"/>
      <c r="C540" s="884"/>
      <c r="D540" s="884"/>
      <c r="E540" s="884"/>
      <c r="F540" s="825"/>
      <c r="G540" s="884"/>
      <c r="H540" s="884"/>
      <c r="I540" s="825"/>
      <c r="J540" s="719"/>
      <c r="K540" s="719"/>
      <c r="L540" s="719"/>
      <c r="M540" s="719"/>
    </row>
    <row r="541" spans="1:13" s="51" customFormat="1" x14ac:dyDescent="0.3">
      <c r="A541" s="895" t="s">
        <v>23</v>
      </c>
      <c r="B541" s="895"/>
      <c r="C541" s="895"/>
      <c r="D541" s="895"/>
      <c r="E541" s="895"/>
      <c r="F541" s="895"/>
      <c r="G541" s="895"/>
      <c r="H541" s="895"/>
      <c r="I541" s="895"/>
      <c r="J541" s="719"/>
      <c r="K541" s="719"/>
      <c r="L541" s="719"/>
      <c r="M541" s="719"/>
    </row>
    <row r="542" spans="1:13" s="51" customFormat="1" x14ac:dyDescent="0.3">
      <c r="A542" s="825">
        <v>1</v>
      </c>
      <c r="B542" s="885" t="str">
        <f>'ЦКС 3'!A19</f>
        <v>ГСМ</v>
      </c>
      <c r="C542" s="885"/>
      <c r="D542" s="885"/>
      <c r="E542" s="885"/>
      <c r="F542" s="825" t="str">
        <f>'ЦКС 3'!U19</f>
        <v>л.</v>
      </c>
      <c r="G542" s="911">
        <f>'нормативные 3'!G552:H552</f>
        <v>1.8059299191374663</v>
      </c>
      <c r="H542" s="911"/>
      <c r="I542" s="825">
        <v>1</v>
      </c>
      <c r="J542" s="719"/>
      <c r="K542" s="719"/>
      <c r="L542" s="719"/>
      <c r="M542" s="719"/>
    </row>
    <row r="543" spans="1:13" s="51" customFormat="1" ht="38.25" customHeight="1" x14ac:dyDescent="0.3">
      <c r="A543" s="825">
        <v>2</v>
      </c>
      <c r="B543" s="885" t="str">
        <f>'ЦКС 3'!A20</f>
        <v>Техническое обслуживание и ремонтов автотранспорта</v>
      </c>
      <c r="C543" s="885"/>
      <c r="D543" s="885"/>
      <c r="E543" s="885"/>
      <c r="F543" s="825" t="str">
        <f>'ЦКС 3'!U20</f>
        <v>договор</v>
      </c>
      <c r="G543" s="911">
        <f>'нормативные 3'!G553:H553</f>
        <v>1.3477088948787063E-3</v>
      </c>
      <c r="H543" s="911"/>
      <c r="I543" s="825" t="s">
        <v>163</v>
      </c>
      <c r="J543" s="719"/>
      <c r="K543" s="719"/>
      <c r="L543" s="719"/>
      <c r="M543" s="719"/>
    </row>
    <row r="544" spans="1:13" s="51" customFormat="1" ht="24" customHeight="1" x14ac:dyDescent="0.3">
      <c r="A544" s="825">
        <v>3</v>
      </c>
      <c r="B544" s="885" t="str">
        <f>'ЦКС 3'!A31</f>
        <v>Медицинский осмотр</v>
      </c>
      <c r="C544" s="885"/>
      <c r="D544" s="885"/>
      <c r="E544" s="885"/>
      <c r="F544" s="825" t="str">
        <f>'ЦКС 3'!U31</f>
        <v>договор</v>
      </c>
      <c r="G544" s="911">
        <f>'нормативные 3'!G554:H554</f>
        <v>1.25E-3</v>
      </c>
      <c r="H544" s="911"/>
      <c r="I544" s="825" t="s">
        <v>163</v>
      </c>
      <c r="J544" s="719"/>
      <c r="K544" s="719"/>
      <c r="L544" s="719"/>
      <c r="M544" s="719"/>
    </row>
    <row r="545" spans="1:13" s="51" customFormat="1" ht="87.75" customHeight="1" x14ac:dyDescent="0.3">
      <c r="A545" s="825">
        <v>4</v>
      </c>
      <c r="B545" s="885" t="str">
        <f>'ЦКС 3'!A32</f>
        <v>Производственный контроль, аккарицидная обработка, дератизация, дезинфекция и пр. санитарно-гигиенические меропориятия</v>
      </c>
      <c r="C545" s="885"/>
      <c r="D545" s="885"/>
      <c r="E545" s="885"/>
      <c r="F545" s="825" t="str">
        <f>'ЦКС 3'!U32</f>
        <v>договор</v>
      </c>
      <c r="G545" s="911">
        <f>'нормативные 3'!G555:H555</f>
        <v>1.25E-3</v>
      </c>
      <c r="H545" s="911"/>
      <c r="I545" s="825" t="s">
        <v>163</v>
      </c>
      <c r="J545" s="719"/>
      <c r="K545" s="719"/>
      <c r="L545" s="719"/>
      <c r="M545" s="719"/>
    </row>
    <row r="546" spans="1:13" s="51" customFormat="1" ht="60" customHeight="1" x14ac:dyDescent="0.3">
      <c r="A546" s="825">
        <v>5</v>
      </c>
      <c r="B546" s="885" t="str">
        <f>'ЦКС 3'!A33</f>
        <v>Обучение персонала (электро, тепло, газовое хозяйство, пожарная безопасность, охрана труда и др.)</v>
      </c>
      <c r="C546" s="885"/>
      <c r="D546" s="885"/>
      <c r="E546" s="885"/>
      <c r="F546" s="825" t="str">
        <f>'ЦКС 3'!U33</f>
        <v>договор</v>
      </c>
      <c r="G546" s="911">
        <f>'нормативные 3'!G556:H556</f>
        <v>1.25E-3</v>
      </c>
      <c r="H546" s="911"/>
      <c r="I546" s="825" t="s">
        <v>163</v>
      </c>
      <c r="J546" s="719"/>
      <c r="K546" s="719"/>
      <c r="L546" s="719"/>
      <c r="M546" s="719"/>
    </row>
    <row r="547" spans="1:13" s="51" customFormat="1" ht="51" customHeight="1" x14ac:dyDescent="0.3">
      <c r="A547" s="825">
        <v>6</v>
      </c>
      <c r="B547" s="885" t="str">
        <f>'ЦКС 3'!A34</f>
        <v>Обслуживание программных комплексов</v>
      </c>
      <c r="C547" s="885"/>
      <c r="D547" s="885"/>
      <c r="E547" s="885"/>
      <c r="F547" s="825" t="str">
        <f>'ЦКС 3'!U34</f>
        <v>договор</v>
      </c>
      <c r="G547" s="911">
        <f>'нормативные 3'!G557:H557</f>
        <v>1.25E-3</v>
      </c>
      <c r="H547" s="911"/>
      <c r="I547" s="825" t="s">
        <v>163</v>
      </c>
      <c r="J547" s="719"/>
      <c r="K547" s="719"/>
      <c r="L547" s="719"/>
      <c r="M547" s="719"/>
    </row>
    <row r="548" spans="1:13" s="51" customFormat="1" ht="15.75" hidden="1" customHeight="1" x14ac:dyDescent="0.3">
      <c r="A548" s="825">
        <v>7</v>
      </c>
      <c r="B548" s="885" t="str">
        <f>'ЦКС 3'!A35</f>
        <v>Специальная оценка условий труда</v>
      </c>
      <c r="C548" s="885"/>
      <c r="D548" s="885"/>
      <c r="E548" s="885"/>
      <c r="F548" s="825" t="str">
        <f>'ЦКС 3'!U35</f>
        <v>чел.</v>
      </c>
      <c r="G548" s="911">
        <f>'нормативные 3'!G558:H558</f>
        <v>0</v>
      </c>
      <c r="H548" s="911"/>
      <c r="I548" s="825" t="s">
        <v>163</v>
      </c>
      <c r="J548" s="719"/>
      <c r="K548" s="719"/>
      <c r="L548" s="719"/>
      <c r="M548" s="719"/>
    </row>
    <row r="549" spans="1:13" s="51" customFormat="1" ht="15.75" hidden="1" customHeight="1" x14ac:dyDescent="0.3">
      <c r="A549" s="735">
        <v>8</v>
      </c>
      <c r="B549" s="885" t="str">
        <f>'ЦКС 3'!A36</f>
        <v>Страховое особо опасных объектов</v>
      </c>
      <c r="C549" s="885"/>
      <c r="D549" s="885"/>
      <c r="E549" s="885"/>
      <c r="F549" s="825" t="str">
        <f>'ЦКС 3'!U36</f>
        <v>договор</v>
      </c>
      <c r="G549" s="911">
        <f>'нормативные 3'!G559:H559</f>
        <v>1.25E-3</v>
      </c>
      <c r="H549" s="911"/>
      <c r="I549" s="825" t="s">
        <v>163</v>
      </c>
      <c r="J549" s="719"/>
      <c r="K549" s="719"/>
      <c r="L549" s="719"/>
      <c r="M549" s="719"/>
    </row>
    <row r="550" spans="1:13" s="51" customFormat="1" ht="42" customHeight="1" x14ac:dyDescent="0.3">
      <c r="A550" s="735">
        <v>7</v>
      </c>
      <c r="B550" s="885" t="str">
        <f>'ЦКС 3'!A37</f>
        <v>Проверка и ремонт измерительных приборов</v>
      </c>
      <c r="C550" s="885"/>
      <c r="D550" s="885"/>
      <c r="E550" s="885"/>
      <c r="F550" s="825" t="str">
        <f>'ЦКС 3'!U37</f>
        <v>договор</v>
      </c>
      <c r="G550" s="911">
        <f>'нормативные 3'!G560:H560</f>
        <v>1.25E-3</v>
      </c>
      <c r="H550" s="911"/>
      <c r="I550" s="825" t="s">
        <v>163</v>
      </c>
      <c r="J550" s="719"/>
      <c r="K550" s="719"/>
      <c r="L550" s="719"/>
      <c r="M550" s="719"/>
    </row>
    <row r="551" spans="1:13" s="51" customFormat="1" x14ac:dyDescent="0.3">
      <c r="A551" s="734"/>
      <c r="B551" s="884"/>
      <c r="C551" s="884"/>
      <c r="D551" s="884"/>
      <c r="E551" s="884"/>
      <c r="F551" s="734"/>
      <c r="G551" s="888"/>
      <c r="H551" s="889"/>
      <c r="I551" s="734"/>
      <c r="J551" s="719"/>
      <c r="K551" s="719"/>
      <c r="L551" s="719"/>
      <c r="M551" s="719"/>
    </row>
    <row r="552" spans="1:13" s="51" customFormat="1" x14ac:dyDescent="0.3">
      <c r="A552" s="719"/>
      <c r="B552" s="719"/>
      <c r="C552" s="719"/>
      <c r="D552" s="719"/>
      <c r="E552" s="719"/>
      <c r="F552" s="719"/>
      <c r="G552" s="719"/>
      <c r="H552" s="719"/>
      <c r="I552" s="719"/>
      <c r="J552" s="719"/>
      <c r="K552" s="719"/>
      <c r="L552" s="719"/>
      <c r="M552" s="719"/>
    </row>
    <row r="553" spans="1:13" x14ac:dyDescent="0.3">
      <c r="J553" s="719"/>
      <c r="K553" s="719"/>
      <c r="L553" s="719"/>
      <c r="M553" s="719"/>
    </row>
  </sheetData>
  <mergeCells count="903">
    <mergeCell ref="B549:E549"/>
    <mergeCell ref="G549:H549"/>
    <mergeCell ref="B550:E550"/>
    <mergeCell ref="G550:H550"/>
    <mergeCell ref="B551:E551"/>
    <mergeCell ref="G551:H551"/>
    <mergeCell ref="B534:E534"/>
    <mergeCell ref="G534:H534"/>
    <mergeCell ref="B535:E535"/>
    <mergeCell ref="G535:H535"/>
    <mergeCell ref="B536:E536"/>
    <mergeCell ref="G536:H536"/>
    <mergeCell ref="A537:I537"/>
    <mergeCell ref="B538:E538"/>
    <mergeCell ref="G538:H538"/>
    <mergeCell ref="B539:E539"/>
    <mergeCell ref="G539:H539"/>
    <mergeCell ref="B540:E540"/>
    <mergeCell ref="G540:H540"/>
    <mergeCell ref="A541:I541"/>
    <mergeCell ref="B542:E542"/>
    <mergeCell ref="G542:H542"/>
    <mergeCell ref="B544:E544"/>
    <mergeCell ref="G544:H544"/>
    <mergeCell ref="B545:E545"/>
    <mergeCell ref="G545:H545"/>
    <mergeCell ref="B546:E546"/>
    <mergeCell ref="G546:H546"/>
    <mergeCell ref="B547:E547"/>
    <mergeCell ref="G547:H547"/>
    <mergeCell ref="B548:E548"/>
    <mergeCell ref="G548:H548"/>
    <mergeCell ref="B522:E522"/>
    <mergeCell ref="G522:H522"/>
    <mergeCell ref="B523:E523"/>
    <mergeCell ref="G523:H523"/>
    <mergeCell ref="B543:E543"/>
    <mergeCell ref="G543:H543"/>
    <mergeCell ref="A524:I524"/>
    <mergeCell ref="B525:E525"/>
    <mergeCell ref="G525:H525"/>
    <mergeCell ref="B526:E526"/>
    <mergeCell ref="G526:H526"/>
    <mergeCell ref="B527:E527"/>
    <mergeCell ref="G527:H527"/>
    <mergeCell ref="B528:E528"/>
    <mergeCell ref="G528:H528"/>
    <mergeCell ref="A529:I529"/>
    <mergeCell ref="B530:E530"/>
    <mergeCell ref="G530:H530"/>
    <mergeCell ref="B531:E531"/>
    <mergeCell ref="G531:H531"/>
    <mergeCell ref="B532:E532"/>
    <mergeCell ref="G532:H532"/>
    <mergeCell ref="B533:E533"/>
    <mergeCell ref="G533:H533"/>
    <mergeCell ref="A516:I516"/>
    <mergeCell ref="B517:E517"/>
    <mergeCell ref="G517:H517"/>
    <mergeCell ref="B518:E518"/>
    <mergeCell ref="G518:H518"/>
    <mergeCell ref="A519:I519"/>
    <mergeCell ref="A520:I520"/>
    <mergeCell ref="B521:E521"/>
    <mergeCell ref="G521:H521"/>
    <mergeCell ref="B511:E511"/>
    <mergeCell ref="G511:H511"/>
    <mergeCell ref="B512:E512"/>
    <mergeCell ref="G512:H512"/>
    <mergeCell ref="B513:E513"/>
    <mergeCell ref="G513:H513"/>
    <mergeCell ref="B514:E514"/>
    <mergeCell ref="G514:H514"/>
    <mergeCell ref="B515:E515"/>
    <mergeCell ref="G515:H515"/>
    <mergeCell ref="B506:E506"/>
    <mergeCell ref="G506:H506"/>
    <mergeCell ref="A507:I507"/>
    <mergeCell ref="B508:E508"/>
    <mergeCell ref="G508:H508"/>
    <mergeCell ref="B509:E509"/>
    <mergeCell ref="G509:H509"/>
    <mergeCell ref="B510:E510"/>
    <mergeCell ref="G510:H510"/>
    <mergeCell ref="B501:E501"/>
    <mergeCell ref="G501:H501"/>
    <mergeCell ref="B502:E502"/>
    <mergeCell ref="G502:H502"/>
    <mergeCell ref="B503:E503"/>
    <mergeCell ref="G503:H503"/>
    <mergeCell ref="B504:E504"/>
    <mergeCell ref="G504:H504"/>
    <mergeCell ref="B505:E505"/>
    <mergeCell ref="G505:H505"/>
    <mergeCell ref="B496:E496"/>
    <mergeCell ref="G496:H496"/>
    <mergeCell ref="B497:E497"/>
    <mergeCell ref="G497:H497"/>
    <mergeCell ref="B498:E498"/>
    <mergeCell ref="G498:H498"/>
    <mergeCell ref="B499:E499"/>
    <mergeCell ref="G499:H499"/>
    <mergeCell ref="B500:E500"/>
    <mergeCell ref="G500:H500"/>
    <mergeCell ref="B490:E490"/>
    <mergeCell ref="G490:H490"/>
    <mergeCell ref="A491:I491"/>
    <mergeCell ref="A492:I492"/>
    <mergeCell ref="B493:E493"/>
    <mergeCell ref="G493:H493"/>
    <mergeCell ref="B494:E494"/>
    <mergeCell ref="G494:H494"/>
    <mergeCell ref="B495:E495"/>
    <mergeCell ref="G495:H495"/>
    <mergeCell ref="B470:E470"/>
    <mergeCell ref="G470:H470"/>
    <mergeCell ref="A482:I482"/>
    <mergeCell ref="A483:I483"/>
    <mergeCell ref="A484:I484"/>
    <mergeCell ref="A485:I485"/>
    <mergeCell ref="A486:I486"/>
    <mergeCell ref="A487:I487"/>
    <mergeCell ref="B489:E489"/>
    <mergeCell ref="G489:H489"/>
    <mergeCell ref="B475:E475"/>
    <mergeCell ref="G475:H475"/>
    <mergeCell ref="B476:E476"/>
    <mergeCell ref="G476:H476"/>
    <mergeCell ref="B477:E477"/>
    <mergeCell ref="G477:H477"/>
    <mergeCell ref="B478:E478"/>
    <mergeCell ref="G478:H478"/>
    <mergeCell ref="B479:E479"/>
    <mergeCell ref="G479:H479"/>
    <mergeCell ref="B460:E460"/>
    <mergeCell ref="G460:H460"/>
    <mergeCell ref="B461:E461"/>
    <mergeCell ref="G461:H461"/>
    <mergeCell ref="B472:E472"/>
    <mergeCell ref="G472:H472"/>
    <mergeCell ref="B473:E473"/>
    <mergeCell ref="G473:H473"/>
    <mergeCell ref="B474:E474"/>
    <mergeCell ref="G474:H474"/>
    <mergeCell ref="B462:E462"/>
    <mergeCell ref="G462:H462"/>
    <mergeCell ref="B463:E463"/>
    <mergeCell ref="G463:H463"/>
    <mergeCell ref="B464:E464"/>
    <mergeCell ref="G464:H464"/>
    <mergeCell ref="A465:I465"/>
    <mergeCell ref="B466:E466"/>
    <mergeCell ref="G466:H466"/>
    <mergeCell ref="B467:E467"/>
    <mergeCell ref="G467:H467"/>
    <mergeCell ref="B468:E468"/>
    <mergeCell ref="G468:H468"/>
    <mergeCell ref="A469:I469"/>
    <mergeCell ref="A447:I447"/>
    <mergeCell ref="A448:I448"/>
    <mergeCell ref="B449:E449"/>
    <mergeCell ref="G449:H449"/>
    <mergeCell ref="B450:E450"/>
    <mergeCell ref="G450:H450"/>
    <mergeCell ref="B451:E451"/>
    <mergeCell ref="G451:H451"/>
    <mergeCell ref="B471:E471"/>
    <mergeCell ref="G471:H471"/>
    <mergeCell ref="A452:I452"/>
    <mergeCell ref="B453:E453"/>
    <mergeCell ref="G453:H453"/>
    <mergeCell ref="B454:E454"/>
    <mergeCell ref="G454:H454"/>
    <mergeCell ref="B455:E455"/>
    <mergeCell ref="G455:H455"/>
    <mergeCell ref="B456:E456"/>
    <mergeCell ref="G456:H456"/>
    <mergeCell ref="A457:I457"/>
    <mergeCell ref="B458:E458"/>
    <mergeCell ref="G458:H458"/>
    <mergeCell ref="B459:E459"/>
    <mergeCell ref="G459:H459"/>
    <mergeCell ref="B442:E442"/>
    <mergeCell ref="G442:H442"/>
    <mergeCell ref="B443:E443"/>
    <mergeCell ref="G443:H443"/>
    <mergeCell ref="A444:I444"/>
    <mergeCell ref="B445:E445"/>
    <mergeCell ref="G445:H445"/>
    <mergeCell ref="B446:E446"/>
    <mergeCell ref="G446:H446"/>
    <mergeCell ref="B437:E437"/>
    <mergeCell ref="G437:H437"/>
    <mergeCell ref="B438:E438"/>
    <mergeCell ref="G438:H438"/>
    <mergeCell ref="B439:E439"/>
    <mergeCell ref="G439:H439"/>
    <mergeCell ref="B440:E440"/>
    <mergeCell ref="G440:H440"/>
    <mergeCell ref="B441:E441"/>
    <mergeCell ref="G441:H441"/>
    <mergeCell ref="B432:E432"/>
    <mergeCell ref="G432:H432"/>
    <mergeCell ref="B433:E433"/>
    <mergeCell ref="G433:H433"/>
    <mergeCell ref="B434:E434"/>
    <mergeCell ref="G434:H434"/>
    <mergeCell ref="A435:I435"/>
    <mergeCell ref="B436:E436"/>
    <mergeCell ref="G436:H436"/>
    <mergeCell ref="B427:E427"/>
    <mergeCell ref="G427:H427"/>
    <mergeCell ref="B428:E428"/>
    <mergeCell ref="G428:H428"/>
    <mergeCell ref="B429:E429"/>
    <mergeCell ref="G429:H429"/>
    <mergeCell ref="B430:E430"/>
    <mergeCell ref="G430:H430"/>
    <mergeCell ref="B431:E431"/>
    <mergeCell ref="G431:H431"/>
    <mergeCell ref="B422:E422"/>
    <mergeCell ref="G422:H422"/>
    <mergeCell ref="B423:E423"/>
    <mergeCell ref="G423:H423"/>
    <mergeCell ref="B424:E424"/>
    <mergeCell ref="G424:H424"/>
    <mergeCell ref="B425:E425"/>
    <mergeCell ref="G425:H425"/>
    <mergeCell ref="B426:E426"/>
    <mergeCell ref="G426:H426"/>
    <mergeCell ref="A419:I419"/>
    <mergeCell ref="A420:I420"/>
    <mergeCell ref="B421:E421"/>
    <mergeCell ref="G421:H421"/>
    <mergeCell ref="G21:H21"/>
    <mergeCell ref="B22:E22"/>
    <mergeCell ref="G22:H22"/>
    <mergeCell ref="B26:E26"/>
    <mergeCell ref="B27:E27"/>
    <mergeCell ref="G26:H26"/>
    <mergeCell ref="G27:H27"/>
    <mergeCell ref="B36:E36"/>
    <mergeCell ref="G36:H36"/>
    <mergeCell ref="B37:E37"/>
    <mergeCell ref="G37:H37"/>
    <mergeCell ref="B38:E38"/>
    <mergeCell ref="G38:H38"/>
    <mergeCell ref="A33:I33"/>
    <mergeCell ref="B195:E195"/>
    <mergeCell ref="B196:E196"/>
    <mergeCell ref="B197:E197"/>
    <mergeCell ref="B198:E198"/>
    <mergeCell ref="A410:I410"/>
    <mergeCell ref="A411:I411"/>
    <mergeCell ref="F1:I1"/>
    <mergeCell ref="F2:I2"/>
    <mergeCell ref="F3:I3"/>
    <mergeCell ref="F4:I4"/>
    <mergeCell ref="B18:E18"/>
    <mergeCell ref="G18:H18"/>
    <mergeCell ref="B14:E14"/>
    <mergeCell ref="G14:H14"/>
    <mergeCell ref="A15:I15"/>
    <mergeCell ref="A16:I16"/>
    <mergeCell ref="B17:E17"/>
    <mergeCell ref="G17:H17"/>
    <mergeCell ref="A9:I9"/>
    <mergeCell ref="A10:I10"/>
    <mergeCell ref="A11:I11"/>
    <mergeCell ref="B13:E13"/>
    <mergeCell ref="A6:I6"/>
    <mergeCell ref="A7:I7"/>
    <mergeCell ref="A8:I8"/>
    <mergeCell ref="G13:H13"/>
    <mergeCell ref="A39:I39"/>
    <mergeCell ref="B40:E40"/>
    <mergeCell ref="G40:H40"/>
    <mergeCell ref="B41:E41"/>
    <mergeCell ref="G41:H41"/>
    <mergeCell ref="B42:E42"/>
    <mergeCell ref="G42:H42"/>
    <mergeCell ref="B47:E47"/>
    <mergeCell ref="G47:H47"/>
    <mergeCell ref="A412:I412"/>
    <mergeCell ref="A413:I413"/>
    <mergeCell ref="A414:I414"/>
    <mergeCell ref="A415:I415"/>
    <mergeCell ref="B417:E417"/>
    <mergeCell ref="G417:H417"/>
    <mergeCell ref="B418:E418"/>
    <mergeCell ref="G418:H418"/>
    <mergeCell ref="B43:E43"/>
    <mergeCell ref="G43:H43"/>
    <mergeCell ref="B48:E48"/>
    <mergeCell ref="G48:H48"/>
    <mergeCell ref="B49:E49"/>
    <mergeCell ref="G49:H49"/>
    <mergeCell ref="B46:E46"/>
    <mergeCell ref="A44:I44"/>
    <mergeCell ref="B45:E45"/>
    <mergeCell ref="G45:H45"/>
    <mergeCell ref="G46:H46"/>
    <mergeCell ref="B54:E54"/>
    <mergeCell ref="G54:H54"/>
    <mergeCell ref="B55:E55"/>
    <mergeCell ref="G55:H55"/>
    <mergeCell ref="B56:E56"/>
    <mergeCell ref="A19:I19"/>
    <mergeCell ref="B20:E20"/>
    <mergeCell ref="G20:H20"/>
    <mergeCell ref="B21:E21"/>
    <mergeCell ref="B35:E35"/>
    <mergeCell ref="G35:H35"/>
    <mergeCell ref="A34:I34"/>
    <mergeCell ref="B29:E29"/>
    <mergeCell ref="G29:H29"/>
    <mergeCell ref="A30:I30"/>
    <mergeCell ref="B31:E31"/>
    <mergeCell ref="G31:H31"/>
    <mergeCell ref="B32:E32"/>
    <mergeCell ref="G32:H32"/>
    <mergeCell ref="B28:E28"/>
    <mergeCell ref="G28:H28"/>
    <mergeCell ref="B23:E23"/>
    <mergeCell ref="G23:H23"/>
    <mergeCell ref="B24:E24"/>
    <mergeCell ref="G24:H24"/>
    <mergeCell ref="B25:E25"/>
    <mergeCell ref="G25:H25"/>
    <mergeCell ref="G56:H56"/>
    <mergeCell ref="B50:E50"/>
    <mergeCell ref="G50:H50"/>
    <mergeCell ref="B51:E51"/>
    <mergeCell ref="G51:H51"/>
    <mergeCell ref="A52:I52"/>
    <mergeCell ref="B53:E53"/>
    <mergeCell ref="G53:H53"/>
    <mergeCell ref="B64:E64"/>
    <mergeCell ref="G64:H64"/>
    <mergeCell ref="B61:E61"/>
    <mergeCell ref="G61:H61"/>
    <mergeCell ref="B62:E62"/>
    <mergeCell ref="G62:H62"/>
    <mergeCell ref="B63:E63"/>
    <mergeCell ref="G63:H63"/>
    <mergeCell ref="A57:I57"/>
    <mergeCell ref="B58:E58"/>
    <mergeCell ref="G58:H58"/>
    <mergeCell ref="B59:E59"/>
    <mergeCell ref="G59:H59"/>
    <mergeCell ref="B60:E60"/>
    <mergeCell ref="G60:H60"/>
    <mergeCell ref="A76:I76"/>
    <mergeCell ref="A77:I77"/>
    <mergeCell ref="B78:E78"/>
    <mergeCell ref="G78:H78"/>
    <mergeCell ref="B79:E79"/>
    <mergeCell ref="G79:H79"/>
    <mergeCell ref="A67:I67"/>
    <mergeCell ref="A68:I68"/>
    <mergeCell ref="A69:I69"/>
    <mergeCell ref="A70:I70"/>
    <mergeCell ref="A71:I71"/>
    <mergeCell ref="A72:I72"/>
    <mergeCell ref="B74:E74"/>
    <mergeCell ref="G74:H74"/>
    <mergeCell ref="B75:E75"/>
    <mergeCell ref="G75:H75"/>
    <mergeCell ref="A80:I80"/>
    <mergeCell ref="B81:E81"/>
    <mergeCell ref="G81:H81"/>
    <mergeCell ref="B82:E82"/>
    <mergeCell ref="G82:H82"/>
    <mergeCell ref="B83:E83"/>
    <mergeCell ref="G83:H83"/>
    <mergeCell ref="B84:E84"/>
    <mergeCell ref="G84:H84"/>
    <mergeCell ref="B91:E91"/>
    <mergeCell ref="G91:H91"/>
    <mergeCell ref="B85:E85"/>
    <mergeCell ref="G85:H85"/>
    <mergeCell ref="B87:E87"/>
    <mergeCell ref="G87:H87"/>
    <mergeCell ref="B88:E88"/>
    <mergeCell ref="G88:H88"/>
    <mergeCell ref="A89:I89"/>
    <mergeCell ref="B90:E90"/>
    <mergeCell ref="G90:H90"/>
    <mergeCell ref="B86:E86"/>
    <mergeCell ref="G86:H86"/>
    <mergeCell ref="B97:E97"/>
    <mergeCell ref="G97:H97"/>
    <mergeCell ref="A98:I98"/>
    <mergeCell ref="A92:I92"/>
    <mergeCell ref="A93:I93"/>
    <mergeCell ref="B94:E94"/>
    <mergeCell ref="G94:H94"/>
    <mergeCell ref="B95:E95"/>
    <mergeCell ref="G95:H95"/>
    <mergeCell ref="B96:E96"/>
    <mergeCell ref="G96:H96"/>
    <mergeCell ref="B105:E105"/>
    <mergeCell ref="G105:H105"/>
    <mergeCell ref="A103:I103"/>
    <mergeCell ref="B104:E104"/>
    <mergeCell ref="G104:H104"/>
    <mergeCell ref="B99:E99"/>
    <mergeCell ref="G99:H99"/>
    <mergeCell ref="B100:E100"/>
    <mergeCell ref="G100:H100"/>
    <mergeCell ref="B101:E101"/>
    <mergeCell ref="G101:H101"/>
    <mergeCell ref="B102:E102"/>
    <mergeCell ref="G102:H102"/>
    <mergeCell ref="G112:H112"/>
    <mergeCell ref="B113:E113"/>
    <mergeCell ref="G113:H113"/>
    <mergeCell ref="B114:E114"/>
    <mergeCell ref="G114:H114"/>
    <mergeCell ref="B106:E106"/>
    <mergeCell ref="G106:H106"/>
    <mergeCell ref="B107:E107"/>
    <mergeCell ref="G107:H107"/>
    <mergeCell ref="B108:E108"/>
    <mergeCell ref="G108:H108"/>
    <mergeCell ref="B109:E109"/>
    <mergeCell ref="G109:H109"/>
    <mergeCell ref="B110:E110"/>
    <mergeCell ref="G110:H110"/>
    <mergeCell ref="B122:E122"/>
    <mergeCell ref="G122:H122"/>
    <mergeCell ref="K11:M11"/>
    <mergeCell ref="K72:M72"/>
    <mergeCell ref="A125:I125"/>
    <mergeCell ref="A126:I126"/>
    <mergeCell ref="A127:I127"/>
    <mergeCell ref="A128:I128"/>
    <mergeCell ref="A129:I129"/>
    <mergeCell ref="B117:E117"/>
    <mergeCell ref="G117:H117"/>
    <mergeCell ref="B118:E118"/>
    <mergeCell ref="G118:H118"/>
    <mergeCell ref="B119:E119"/>
    <mergeCell ref="G119:H119"/>
    <mergeCell ref="B120:E120"/>
    <mergeCell ref="G120:H120"/>
    <mergeCell ref="B121:E121"/>
    <mergeCell ref="G121:H121"/>
    <mergeCell ref="A115:I115"/>
    <mergeCell ref="B116:E116"/>
    <mergeCell ref="G116:H116"/>
    <mergeCell ref="A111:I111"/>
    <mergeCell ref="B112:E112"/>
    <mergeCell ref="B137:E137"/>
    <mergeCell ref="G137:H137"/>
    <mergeCell ref="A138:I138"/>
    <mergeCell ref="B139:E139"/>
    <mergeCell ref="G139:H139"/>
    <mergeCell ref="A130:I130"/>
    <mergeCell ref="K130:M130"/>
    <mergeCell ref="B132:E132"/>
    <mergeCell ref="G132:H132"/>
    <mergeCell ref="B133:E133"/>
    <mergeCell ref="G133:H133"/>
    <mergeCell ref="A134:I134"/>
    <mergeCell ref="A135:I135"/>
    <mergeCell ref="B136:E136"/>
    <mergeCell ref="G136:H136"/>
    <mergeCell ref="A150:I150"/>
    <mergeCell ref="B146:E146"/>
    <mergeCell ref="G146:H146"/>
    <mergeCell ref="A147:I147"/>
    <mergeCell ref="B148:E148"/>
    <mergeCell ref="G148:H148"/>
    <mergeCell ref="B149:E149"/>
    <mergeCell ref="G149:H149"/>
    <mergeCell ref="B140:E140"/>
    <mergeCell ref="G140:H140"/>
    <mergeCell ref="B141:E141"/>
    <mergeCell ref="G141:H141"/>
    <mergeCell ref="B142:E142"/>
    <mergeCell ref="G142:H142"/>
    <mergeCell ref="B143:E143"/>
    <mergeCell ref="G143:H143"/>
    <mergeCell ref="B144:E144"/>
    <mergeCell ref="G144:H144"/>
    <mergeCell ref="B145:E145"/>
    <mergeCell ref="G145:H145"/>
    <mergeCell ref="A155:I155"/>
    <mergeCell ref="B156:E156"/>
    <mergeCell ref="G156:H156"/>
    <mergeCell ref="A151:I151"/>
    <mergeCell ref="B152:E152"/>
    <mergeCell ref="G152:H152"/>
    <mergeCell ref="B153:E153"/>
    <mergeCell ref="G153:H153"/>
    <mergeCell ref="B154:E154"/>
    <mergeCell ref="G154:H154"/>
    <mergeCell ref="A160:I160"/>
    <mergeCell ref="B161:E161"/>
    <mergeCell ref="G161:H161"/>
    <mergeCell ref="B162:E162"/>
    <mergeCell ref="G162:H162"/>
    <mergeCell ref="B157:E157"/>
    <mergeCell ref="G157:H157"/>
    <mergeCell ref="B158:E158"/>
    <mergeCell ref="G158:H158"/>
    <mergeCell ref="B159:E159"/>
    <mergeCell ref="G159:H159"/>
    <mergeCell ref="B163:E163"/>
    <mergeCell ref="G163:H163"/>
    <mergeCell ref="B164:E164"/>
    <mergeCell ref="G164:H164"/>
    <mergeCell ref="B165:E165"/>
    <mergeCell ref="G165:H165"/>
    <mergeCell ref="B166:E166"/>
    <mergeCell ref="G166:H166"/>
    <mergeCell ref="A167:I167"/>
    <mergeCell ref="B173:E173"/>
    <mergeCell ref="A171:I171"/>
    <mergeCell ref="B172:E172"/>
    <mergeCell ref="G172:H172"/>
    <mergeCell ref="G173:H173"/>
    <mergeCell ref="B168:E168"/>
    <mergeCell ref="G168:H168"/>
    <mergeCell ref="B169:E169"/>
    <mergeCell ref="G169:H169"/>
    <mergeCell ref="B170:E170"/>
    <mergeCell ref="G170:H170"/>
    <mergeCell ref="A181:I181"/>
    <mergeCell ref="A182:I182"/>
    <mergeCell ref="A183:I183"/>
    <mergeCell ref="A184:I184"/>
    <mergeCell ref="A185:I185"/>
    <mergeCell ref="B174:E174"/>
    <mergeCell ref="G174:H174"/>
    <mergeCell ref="B175:E175"/>
    <mergeCell ref="G175:H175"/>
    <mergeCell ref="B176:E176"/>
    <mergeCell ref="G176:H176"/>
    <mergeCell ref="B177:E177"/>
    <mergeCell ref="G177:H177"/>
    <mergeCell ref="A186:I186"/>
    <mergeCell ref="K186:M186"/>
    <mergeCell ref="B188:E188"/>
    <mergeCell ref="G188:H188"/>
    <mergeCell ref="B189:E189"/>
    <mergeCell ref="G189:H189"/>
    <mergeCell ref="A190:I190"/>
    <mergeCell ref="A191:I191"/>
    <mergeCell ref="B192:E192"/>
    <mergeCell ref="G192:H192"/>
    <mergeCell ref="B193:E193"/>
    <mergeCell ref="G193:H193"/>
    <mergeCell ref="B194:E194"/>
    <mergeCell ref="G194:H194"/>
    <mergeCell ref="A200:I200"/>
    <mergeCell ref="B201:E201"/>
    <mergeCell ref="G201:H201"/>
    <mergeCell ref="B199:E199"/>
    <mergeCell ref="G195:H195"/>
    <mergeCell ref="G196:H196"/>
    <mergeCell ref="G197:H197"/>
    <mergeCell ref="G198:H198"/>
    <mergeCell ref="G199:H199"/>
    <mergeCell ref="A210:I210"/>
    <mergeCell ref="A207:I207"/>
    <mergeCell ref="B208:E208"/>
    <mergeCell ref="G208:H208"/>
    <mergeCell ref="B209:E209"/>
    <mergeCell ref="G209:H209"/>
    <mergeCell ref="B202:E202"/>
    <mergeCell ref="G202:H202"/>
    <mergeCell ref="B203:E203"/>
    <mergeCell ref="G203:H203"/>
    <mergeCell ref="B204:E204"/>
    <mergeCell ref="G204:H204"/>
    <mergeCell ref="B205:E205"/>
    <mergeCell ref="G205:H205"/>
    <mergeCell ref="B206:E206"/>
    <mergeCell ref="G206:H206"/>
    <mergeCell ref="A215:I215"/>
    <mergeCell ref="B216:E216"/>
    <mergeCell ref="G216:H216"/>
    <mergeCell ref="A211:I211"/>
    <mergeCell ref="B212:E212"/>
    <mergeCell ref="G212:H212"/>
    <mergeCell ref="B213:E213"/>
    <mergeCell ref="G213:H213"/>
    <mergeCell ref="B214:E214"/>
    <mergeCell ref="G214:H214"/>
    <mergeCell ref="B217:E217"/>
    <mergeCell ref="G217:H217"/>
    <mergeCell ref="B218:E218"/>
    <mergeCell ref="G218:H218"/>
    <mergeCell ref="B219:E219"/>
    <mergeCell ref="G219:H219"/>
    <mergeCell ref="B224:E224"/>
    <mergeCell ref="G224:H224"/>
    <mergeCell ref="B222:E222"/>
    <mergeCell ref="B223:E223"/>
    <mergeCell ref="G222:H222"/>
    <mergeCell ref="G223:H223"/>
    <mergeCell ref="B227:E227"/>
    <mergeCell ref="G227:H227"/>
    <mergeCell ref="A228:I228"/>
    <mergeCell ref="B226:E226"/>
    <mergeCell ref="G226:H226"/>
    <mergeCell ref="A220:I220"/>
    <mergeCell ref="B225:E225"/>
    <mergeCell ref="G225:H225"/>
    <mergeCell ref="B221:E221"/>
    <mergeCell ref="G221:H221"/>
    <mergeCell ref="B233:E233"/>
    <mergeCell ref="G233:H233"/>
    <mergeCell ref="B234:E234"/>
    <mergeCell ref="G234:H234"/>
    <mergeCell ref="B235:E235"/>
    <mergeCell ref="G235:H235"/>
    <mergeCell ref="A232:I232"/>
    <mergeCell ref="B229:E229"/>
    <mergeCell ref="G229:H229"/>
    <mergeCell ref="B230:E230"/>
    <mergeCell ref="G230:H230"/>
    <mergeCell ref="B231:E231"/>
    <mergeCell ref="G231:H231"/>
    <mergeCell ref="A238:I238"/>
    <mergeCell ref="A239:I239"/>
    <mergeCell ref="A240:I240"/>
    <mergeCell ref="A241:I241"/>
    <mergeCell ref="A242:I242"/>
    <mergeCell ref="A243:I243"/>
    <mergeCell ref="K243:M243"/>
    <mergeCell ref="B245:E245"/>
    <mergeCell ref="G245:H245"/>
    <mergeCell ref="B246:E246"/>
    <mergeCell ref="G246:H246"/>
    <mergeCell ref="A247:I247"/>
    <mergeCell ref="A248:I248"/>
    <mergeCell ref="B249:E249"/>
    <mergeCell ref="G249:H249"/>
    <mergeCell ref="B250:E250"/>
    <mergeCell ref="G250:H250"/>
    <mergeCell ref="B251:E251"/>
    <mergeCell ref="G251:H251"/>
    <mergeCell ref="B257:E257"/>
    <mergeCell ref="G257:H257"/>
    <mergeCell ref="A258:I258"/>
    <mergeCell ref="B252:E252"/>
    <mergeCell ref="G252:H252"/>
    <mergeCell ref="A253:I253"/>
    <mergeCell ref="B254:E254"/>
    <mergeCell ref="G254:H254"/>
    <mergeCell ref="B255:E255"/>
    <mergeCell ref="G255:H255"/>
    <mergeCell ref="B256:E256"/>
    <mergeCell ref="G256:H256"/>
    <mergeCell ref="B265:E265"/>
    <mergeCell ref="G265:H265"/>
    <mergeCell ref="B264:E264"/>
    <mergeCell ref="G264:H264"/>
    <mergeCell ref="A261:I261"/>
    <mergeCell ref="A262:I262"/>
    <mergeCell ref="B263:E263"/>
    <mergeCell ref="G263:H263"/>
    <mergeCell ref="B259:E259"/>
    <mergeCell ref="G259:H259"/>
    <mergeCell ref="B260:E260"/>
    <mergeCell ref="G260:H260"/>
    <mergeCell ref="A271:I271"/>
    <mergeCell ref="B272:E272"/>
    <mergeCell ref="G272:H272"/>
    <mergeCell ref="A266:I266"/>
    <mergeCell ref="B267:E267"/>
    <mergeCell ref="G267:H267"/>
    <mergeCell ref="B268:E268"/>
    <mergeCell ref="G268:H268"/>
    <mergeCell ref="B269:E269"/>
    <mergeCell ref="G269:H269"/>
    <mergeCell ref="B270:E270"/>
    <mergeCell ref="G270:H270"/>
    <mergeCell ref="B273:E273"/>
    <mergeCell ref="G273:H273"/>
    <mergeCell ref="B274:E274"/>
    <mergeCell ref="G274:H274"/>
    <mergeCell ref="B275:E275"/>
    <mergeCell ref="G275:H275"/>
    <mergeCell ref="B276:E276"/>
    <mergeCell ref="G276:H276"/>
    <mergeCell ref="B277:E277"/>
    <mergeCell ref="G277:H277"/>
    <mergeCell ref="A283:I283"/>
    <mergeCell ref="B278:E278"/>
    <mergeCell ref="G278:H278"/>
    <mergeCell ref="A279:I279"/>
    <mergeCell ref="B280:E280"/>
    <mergeCell ref="G280:H280"/>
    <mergeCell ref="B281:E281"/>
    <mergeCell ref="G281:H281"/>
    <mergeCell ref="B282:E282"/>
    <mergeCell ref="G282:H282"/>
    <mergeCell ref="A289:I289"/>
    <mergeCell ref="A290:I290"/>
    <mergeCell ref="A291:I291"/>
    <mergeCell ref="A292:I292"/>
    <mergeCell ref="A293:I293"/>
    <mergeCell ref="B284:E284"/>
    <mergeCell ref="G284:H284"/>
    <mergeCell ref="B285:E285"/>
    <mergeCell ref="G285:H285"/>
    <mergeCell ref="B286:E286"/>
    <mergeCell ref="G286:H286"/>
    <mergeCell ref="B306:E306"/>
    <mergeCell ref="G306:H306"/>
    <mergeCell ref="B303:E303"/>
    <mergeCell ref="G303:H303"/>
    <mergeCell ref="A304:I304"/>
    <mergeCell ref="B305:E305"/>
    <mergeCell ref="G305:H305"/>
    <mergeCell ref="A294:I294"/>
    <mergeCell ref="K294:M294"/>
    <mergeCell ref="B296:E296"/>
    <mergeCell ref="G296:H296"/>
    <mergeCell ref="B297:E297"/>
    <mergeCell ref="G297:H297"/>
    <mergeCell ref="A298:I298"/>
    <mergeCell ref="A299:I299"/>
    <mergeCell ref="B300:E300"/>
    <mergeCell ref="G300:H300"/>
    <mergeCell ref="B301:E301"/>
    <mergeCell ref="G301:H301"/>
    <mergeCell ref="B302:E302"/>
    <mergeCell ref="G302:H302"/>
    <mergeCell ref="A310:I310"/>
    <mergeCell ref="B311:E311"/>
    <mergeCell ref="G311:H311"/>
    <mergeCell ref="B312:E312"/>
    <mergeCell ref="G312:H312"/>
    <mergeCell ref="B313:E313"/>
    <mergeCell ref="G313:H313"/>
    <mergeCell ref="A309:I309"/>
    <mergeCell ref="A307:I307"/>
    <mergeCell ref="B308:E308"/>
    <mergeCell ref="G308:H308"/>
    <mergeCell ref="B316:E316"/>
    <mergeCell ref="G316:H316"/>
    <mergeCell ref="B317:E317"/>
    <mergeCell ref="G317:H317"/>
    <mergeCell ref="B318:E318"/>
    <mergeCell ref="G318:H318"/>
    <mergeCell ref="A314:I314"/>
    <mergeCell ref="B315:E315"/>
    <mergeCell ref="G315:H315"/>
    <mergeCell ref="B323:E323"/>
    <mergeCell ref="G323:H323"/>
    <mergeCell ref="B324:E324"/>
    <mergeCell ref="G324:H324"/>
    <mergeCell ref="B325:E325"/>
    <mergeCell ref="G325:H325"/>
    <mergeCell ref="A326:I326"/>
    <mergeCell ref="B321:E321"/>
    <mergeCell ref="A319:I319"/>
    <mergeCell ref="B320:E320"/>
    <mergeCell ref="G320:H320"/>
    <mergeCell ref="G321:H321"/>
    <mergeCell ref="B322:E322"/>
    <mergeCell ref="G322:H322"/>
    <mergeCell ref="B333:E333"/>
    <mergeCell ref="G333:H333"/>
    <mergeCell ref="B332:E332"/>
    <mergeCell ref="A330:I330"/>
    <mergeCell ref="B331:E331"/>
    <mergeCell ref="G331:H331"/>
    <mergeCell ref="G332:H332"/>
    <mergeCell ref="B327:E327"/>
    <mergeCell ref="G327:H327"/>
    <mergeCell ref="B328:E328"/>
    <mergeCell ref="G328:H328"/>
    <mergeCell ref="B329:E329"/>
    <mergeCell ref="G329:H329"/>
    <mergeCell ref="A338:I338"/>
    <mergeCell ref="A339:I339"/>
    <mergeCell ref="A340:I340"/>
    <mergeCell ref="A341:I341"/>
    <mergeCell ref="A342:I342"/>
    <mergeCell ref="K343:M343"/>
    <mergeCell ref="B345:E345"/>
    <mergeCell ref="G345:H345"/>
    <mergeCell ref="B346:E346"/>
    <mergeCell ref="G346:H346"/>
    <mergeCell ref="A343:I343"/>
    <mergeCell ref="A347:I347"/>
    <mergeCell ref="A348:I348"/>
    <mergeCell ref="B349:E349"/>
    <mergeCell ref="G349:H349"/>
    <mergeCell ref="B392:E392"/>
    <mergeCell ref="G392:H392"/>
    <mergeCell ref="B370:E370"/>
    <mergeCell ref="G366:H366"/>
    <mergeCell ref="G370:H370"/>
    <mergeCell ref="B365:E365"/>
    <mergeCell ref="G365:H365"/>
    <mergeCell ref="G357:H357"/>
    <mergeCell ref="G359:H359"/>
    <mergeCell ref="G360:H360"/>
    <mergeCell ref="G361:H361"/>
    <mergeCell ref="G358:H358"/>
    <mergeCell ref="B362:E362"/>
    <mergeCell ref="G362:H362"/>
    <mergeCell ref="A363:I363"/>
    <mergeCell ref="B364:E364"/>
    <mergeCell ref="G389:H389"/>
    <mergeCell ref="B390:E390"/>
    <mergeCell ref="G390:H390"/>
    <mergeCell ref="B369:E369"/>
    <mergeCell ref="G369:H369"/>
    <mergeCell ref="A372:I372"/>
    <mergeCell ref="G373:H373"/>
    <mergeCell ref="B400:E400"/>
    <mergeCell ref="G400:H400"/>
    <mergeCell ref="B401:E401"/>
    <mergeCell ref="G401:H401"/>
    <mergeCell ref="B405:E405"/>
    <mergeCell ref="B384:E384"/>
    <mergeCell ref="G384:H384"/>
    <mergeCell ref="A385:I385"/>
    <mergeCell ref="B386:E386"/>
    <mergeCell ref="G386:H386"/>
    <mergeCell ref="B387:E387"/>
    <mergeCell ref="G387:H387"/>
    <mergeCell ref="B388:E388"/>
    <mergeCell ref="G388:H388"/>
    <mergeCell ref="B394:E394"/>
    <mergeCell ref="G394:H394"/>
    <mergeCell ref="B395:E395"/>
    <mergeCell ref="G395:H395"/>
    <mergeCell ref="B396:E396"/>
    <mergeCell ref="G396:H396"/>
    <mergeCell ref="B391:E391"/>
    <mergeCell ref="A393:I393"/>
    <mergeCell ref="B389:E389"/>
    <mergeCell ref="G391:H391"/>
    <mergeCell ref="B374:E374"/>
    <mergeCell ref="G374:H374"/>
    <mergeCell ref="B382:E382"/>
    <mergeCell ref="B383:E383"/>
    <mergeCell ref="A380:I380"/>
    <mergeCell ref="B381:E381"/>
    <mergeCell ref="G381:H381"/>
    <mergeCell ref="A376:I376"/>
    <mergeCell ref="B377:E377"/>
    <mergeCell ref="G377:H377"/>
    <mergeCell ref="B379:E379"/>
    <mergeCell ref="G379:H379"/>
    <mergeCell ref="G382:H382"/>
    <mergeCell ref="G383:H383"/>
    <mergeCell ref="B378:E378"/>
    <mergeCell ref="G378:H378"/>
    <mergeCell ref="A375:I375"/>
    <mergeCell ref="B373:E373"/>
    <mergeCell ref="G364:H364"/>
    <mergeCell ref="B366:E366"/>
    <mergeCell ref="B406:E406"/>
    <mergeCell ref="B407:E407"/>
    <mergeCell ref="G405:H405"/>
    <mergeCell ref="G406:H406"/>
    <mergeCell ref="G407:H407"/>
    <mergeCell ref="B402:E402"/>
    <mergeCell ref="G402:H402"/>
    <mergeCell ref="B403:E403"/>
    <mergeCell ref="G403:H403"/>
    <mergeCell ref="B404:E404"/>
    <mergeCell ref="G404:H404"/>
    <mergeCell ref="B399:E399"/>
    <mergeCell ref="A397:I397"/>
    <mergeCell ref="B398:E398"/>
    <mergeCell ref="G398:H398"/>
    <mergeCell ref="G399:H399"/>
    <mergeCell ref="B371:E371"/>
    <mergeCell ref="G371:H371"/>
    <mergeCell ref="B367:E367"/>
    <mergeCell ref="G367:H367"/>
    <mergeCell ref="B368:E368"/>
    <mergeCell ref="G368:H368"/>
    <mergeCell ref="B361:E361"/>
    <mergeCell ref="G350:H350"/>
    <mergeCell ref="G351:H351"/>
    <mergeCell ref="G352:H352"/>
    <mergeCell ref="G353:H353"/>
    <mergeCell ref="G354:H354"/>
    <mergeCell ref="G355:H355"/>
    <mergeCell ref="B356:E356"/>
    <mergeCell ref="G356:H356"/>
    <mergeCell ref="B357:E357"/>
    <mergeCell ref="B350:E350"/>
    <mergeCell ref="B351:E351"/>
    <mergeCell ref="B352:E352"/>
    <mergeCell ref="B353:E353"/>
    <mergeCell ref="B354:E354"/>
    <mergeCell ref="B355:E355"/>
    <mergeCell ref="B358:E358"/>
    <mergeCell ref="B359:E359"/>
    <mergeCell ref="B360:E360"/>
  </mergeCells>
  <pageMargins left="0.25" right="0.25" top="0.75" bottom="0.75" header="0.3" footer="0.3"/>
  <pageSetup paperSize="9" scale="4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3"/>
  <sheetViews>
    <sheetView view="pageBreakPreview" zoomScale="85" zoomScaleSheetLayoutView="85" workbookViewId="0">
      <selection activeCell="AT37" sqref="AS37:AT37"/>
    </sheetView>
  </sheetViews>
  <sheetFormatPr defaultRowHeight="15" x14ac:dyDescent="0.25"/>
  <cols>
    <col min="1" max="1" width="6.28515625" customWidth="1"/>
    <col min="8" max="8" width="11" customWidth="1"/>
    <col min="9" max="9" width="13" customWidth="1"/>
  </cols>
  <sheetData>
    <row r="1" spans="1:17" ht="15.75" x14ac:dyDescent="0.25">
      <c r="A1" s="4"/>
      <c r="B1" s="4"/>
      <c r="C1" s="4"/>
      <c r="D1" s="4"/>
      <c r="E1" s="4"/>
      <c r="F1" s="921" t="s">
        <v>1</v>
      </c>
      <c r="G1" s="921"/>
      <c r="H1" s="921"/>
      <c r="I1" s="921"/>
      <c r="J1" s="2"/>
      <c r="K1" s="2"/>
      <c r="L1" s="2"/>
      <c r="M1" s="2"/>
      <c r="N1" s="2"/>
      <c r="O1" s="2"/>
      <c r="P1" s="2"/>
      <c r="Q1" s="2"/>
    </row>
    <row r="2" spans="1:17" ht="15.75" x14ac:dyDescent="0.25">
      <c r="A2" s="922" t="s">
        <v>24</v>
      </c>
      <c r="B2" s="922"/>
      <c r="C2" s="922"/>
      <c r="D2" s="922"/>
      <c r="E2" s="922"/>
      <c r="F2" s="922"/>
      <c r="G2" s="922"/>
      <c r="H2" s="922"/>
      <c r="I2" s="922"/>
      <c r="J2" s="2"/>
      <c r="K2" s="2"/>
      <c r="L2" s="2"/>
      <c r="M2" s="2"/>
      <c r="N2" s="2"/>
      <c r="O2" s="2"/>
      <c r="P2" s="2"/>
      <c r="Q2" s="2"/>
    </row>
    <row r="3" spans="1:17" ht="15.75" x14ac:dyDescent="0.25">
      <c r="A3" s="922" t="s">
        <v>33</v>
      </c>
      <c r="B3" s="922"/>
      <c r="C3" s="922"/>
      <c r="D3" s="922"/>
      <c r="E3" s="922"/>
      <c r="F3" s="922"/>
      <c r="G3" s="922"/>
      <c r="H3" s="922"/>
      <c r="I3" s="922"/>
      <c r="J3" s="2"/>
      <c r="K3" s="2"/>
      <c r="L3" s="2"/>
      <c r="M3" s="2"/>
      <c r="N3" s="2"/>
      <c r="O3" s="2"/>
      <c r="P3" s="2"/>
      <c r="Q3" s="2"/>
    </row>
    <row r="4" spans="1:17" ht="15.75" x14ac:dyDescent="0.25">
      <c r="A4" s="917" t="s">
        <v>38</v>
      </c>
      <c r="B4" s="917"/>
      <c r="C4" s="917"/>
      <c r="D4" s="917"/>
      <c r="E4" s="917"/>
      <c r="F4" s="917"/>
      <c r="G4" s="917"/>
      <c r="H4" s="917"/>
      <c r="I4" s="917"/>
      <c r="J4" s="2"/>
      <c r="K4" s="2"/>
      <c r="L4" s="2"/>
      <c r="M4" s="2"/>
      <c r="N4" s="2"/>
      <c r="O4" s="2"/>
      <c r="P4" s="2"/>
      <c r="Q4" s="2"/>
    </row>
    <row r="5" spans="1:17" ht="15.75" x14ac:dyDescent="0.25">
      <c r="A5" s="918" t="s">
        <v>116</v>
      </c>
      <c r="B5" s="918"/>
      <c r="C5" s="918"/>
      <c r="D5" s="918"/>
      <c r="E5" s="918"/>
      <c r="F5" s="918"/>
      <c r="G5" s="918"/>
      <c r="H5" s="918"/>
      <c r="I5" s="918"/>
      <c r="J5" s="2"/>
      <c r="K5" s="2"/>
      <c r="L5" s="2"/>
      <c r="M5" s="2"/>
      <c r="N5" s="2"/>
      <c r="O5" s="2"/>
      <c r="P5" s="2"/>
      <c r="Q5" s="2"/>
    </row>
    <row r="6" spans="1:17" ht="15.75" x14ac:dyDescent="0.25">
      <c r="A6" s="919" t="s">
        <v>8</v>
      </c>
      <c r="B6" s="919"/>
      <c r="C6" s="919"/>
      <c r="D6" s="919"/>
      <c r="E6" s="919"/>
      <c r="F6" s="919"/>
      <c r="G6" s="919"/>
      <c r="H6" s="919"/>
      <c r="I6" s="919"/>
      <c r="J6" s="2"/>
      <c r="K6" s="2"/>
      <c r="L6" s="2"/>
      <c r="M6" s="2"/>
      <c r="N6" s="2"/>
      <c r="O6" s="2"/>
      <c r="P6" s="2"/>
      <c r="Q6" s="2"/>
    </row>
    <row r="7" spans="1:17" ht="15.75" x14ac:dyDescent="0.25">
      <c r="A7" s="4"/>
      <c r="B7" s="4"/>
      <c r="C7" s="4"/>
      <c r="D7" s="4"/>
      <c r="E7" s="4"/>
      <c r="F7" s="4"/>
      <c r="G7" s="4"/>
      <c r="H7" s="4"/>
      <c r="I7" s="4"/>
      <c r="J7" s="2"/>
      <c r="K7" s="2"/>
      <c r="L7" s="2"/>
      <c r="M7" s="2"/>
      <c r="N7" s="2"/>
      <c r="O7" s="2"/>
      <c r="P7" s="2"/>
      <c r="Q7" s="2"/>
    </row>
    <row r="8" spans="1:17" ht="95.25" customHeight="1" x14ac:dyDescent="0.25">
      <c r="A8" s="6" t="s">
        <v>9</v>
      </c>
      <c r="B8" s="923" t="s">
        <v>26</v>
      </c>
      <c r="C8" s="923"/>
      <c r="D8" s="923"/>
      <c r="E8" s="920" t="s">
        <v>34</v>
      </c>
      <c r="F8" s="920"/>
      <c r="G8" s="920"/>
      <c r="H8" s="920" t="s">
        <v>27</v>
      </c>
      <c r="I8" s="920"/>
      <c r="J8" s="2"/>
      <c r="K8" s="2"/>
      <c r="L8" s="2"/>
      <c r="M8" s="2"/>
      <c r="N8" s="2"/>
      <c r="O8" s="2"/>
      <c r="P8" s="2"/>
      <c r="Q8" s="2"/>
    </row>
    <row r="9" spans="1:17" ht="15.75" x14ac:dyDescent="0.25">
      <c r="A9" s="7">
        <v>1</v>
      </c>
      <c r="B9" s="920">
        <v>2</v>
      </c>
      <c r="C9" s="920"/>
      <c r="D9" s="920"/>
      <c r="E9" s="920">
        <v>3</v>
      </c>
      <c r="F9" s="920"/>
      <c r="G9" s="920"/>
      <c r="H9" s="920">
        <v>4</v>
      </c>
      <c r="I9" s="920"/>
      <c r="J9" s="2"/>
      <c r="K9" s="2"/>
      <c r="L9" s="2"/>
      <c r="M9" s="2"/>
      <c r="N9" s="2"/>
      <c r="O9" s="2"/>
      <c r="P9" s="2"/>
      <c r="Q9" s="2"/>
    </row>
    <row r="10" spans="1:17" ht="30.75" customHeight="1" x14ac:dyDescent="0.25">
      <c r="A10" s="6"/>
      <c r="B10" s="920" t="s">
        <v>309</v>
      </c>
      <c r="C10" s="920"/>
      <c r="D10" s="920"/>
      <c r="E10" s="920">
        <v>1</v>
      </c>
      <c r="F10" s="920"/>
      <c r="G10" s="920"/>
      <c r="H10" s="920" t="s">
        <v>310</v>
      </c>
      <c r="I10" s="920"/>
      <c r="J10" s="2"/>
      <c r="K10" s="2"/>
      <c r="L10" s="2"/>
      <c r="M10" s="2"/>
      <c r="N10" s="2"/>
      <c r="O10" s="2"/>
      <c r="P10" s="2"/>
      <c r="Q10" s="2"/>
    </row>
    <row r="11" spans="1:17" ht="15.75" x14ac:dyDescent="0.25">
      <c r="A11" s="6"/>
      <c r="B11" s="920"/>
      <c r="C11" s="920"/>
      <c r="D11" s="920"/>
      <c r="E11" s="920"/>
      <c r="F11" s="920"/>
      <c r="G11" s="920"/>
      <c r="H11" s="920"/>
      <c r="I11" s="920"/>
      <c r="J11" s="2"/>
      <c r="K11" s="2"/>
      <c r="L11" s="2"/>
      <c r="M11" s="2"/>
      <c r="N11" s="2"/>
      <c r="O11" s="2"/>
      <c r="P11" s="2"/>
      <c r="Q11" s="2"/>
    </row>
    <row r="12" spans="1:17" ht="15.75" x14ac:dyDescent="0.25">
      <c r="A12" s="4"/>
      <c r="B12" s="4"/>
      <c r="C12" s="4"/>
      <c r="D12" s="4"/>
      <c r="E12" s="4"/>
      <c r="F12" s="4"/>
      <c r="G12" s="4"/>
      <c r="H12" s="4"/>
      <c r="I12" s="4"/>
      <c r="J12" s="2"/>
      <c r="K12" s="2"/>
      <c r="L12" s="2"/>
      <c r="M12" s="2"/>
      <c r="N12" s="2"/>
      <c r="O12" s="2"/>
      <c r="P12" s="2"/>
      <c r="Q12" s="2"/>
    </row>
    <row r="13" spans="1:17" ht="15.75" x14ac:dyDescent="0.25">
      <c r="A13" s="917" t="s">
        <v>38</v>
      </c>
      <c r="B13" s="917"/>
      <c r="C13" s="917"/>
      <c r="D13" s="917"/>
      <c r="E13" s="917"/>
      <c r="F13" s="917"/>
      <c r="G13" s="917"/>
      <c r="H13" s="917"/>
      <c r="I13" s="917"/>
      <c r="J13" s="2"/>
      <c r="K13" s="2"/>
      <c r="L13" s="2"/>
      <c r="M13" s="2"/>
      <c r="N13" s="2"/>
      <c r="O13" s="2"/>
      <c r="P13" s="2"/>
      <c r="Q13" s="2"/>
    </row>
    <row r="14" spans="1:17" ht="15.75" x14ac:dyDescent="0.25">
      <c r="A14" s="918" t="s">
        <v>311</v>
      </c>
      <c r="B14" s="918"/>
      <c r="C14" s="918"/>
      <c r="D14" s="918"/>
      <c r="E14" s="918"/>
      <c r="F14" s="918"/>
      <c r="G14" s="918"/>
      <c r="H14" s="918"/>
      <c r="I14" s="918"/>
      <c r="J14" s="2"/>
      <c r="K14" s="2"/>
      <c r="L14" s="2"/>
      <c r="M14" s="2"/>
      <c r="N14" s="2"/>
      <c r="O14" s="2"/>
      <c r="P14" s="2"/>
      <c r="Q14" s="2"/>
    </row>
    <row r="15" spans="1:17" ht="15.75" x14ac:dyDescent="0.25">
      <c r="A15" s="919" t="s">
        <v>117</v>
      </c>
      <c r="B15" s="919"/>
      <c r="C15" s="919"/>
      <c r="D15" s="919"/>
      <c r="E15" s="919"/>
      <c r="F15" s="919"/>
      <c r="G15" s="919"/>
      <c r="H15" s="919"/>
      <c r="I15" s="919"/>
      <c r="J15" s="2"/>
      <c r="K15" s="2"/>
      <c r="L15" s="2"/>
      <c r="M15" s="2"/>
      <c r="N15" s="2"/>
      <c r="O15" s="2"/>
      <c r="P15" s="2"/>
      <c r="Q15" s="2"/>
    </row>
    <row r="16" spans="1:17" ht="15.75" x14ac:dyDescent="0.25">
      <c r="A16" s="4"/>
      <c r="B16" s="4"/>
      <c r="C16" s="4"/>
      <c r="D16" s="4"/>
      <c r="E16" s="4"/>
      <c r="F16" s="4"/>
      <c r="G16" s="4"/>
      <c r="H16" s="4"/>
      <c r="I16" s="4"/>
      <c r="J16" s="2"/>
      <c r="K16" s="2"/>
      <c r="L16" s="2"/>
      <c r="M16" s="2"/>
      <c r="N16" s="2"/>
      <c r="O16" s="2"/>
      <c r="P16" s="2"/>
      <c r="Q16" s="2"/>
    </row>
    <row r="17" spans="1:17" ht="31.5" x14ac:dyDescent="0.25">
      <c r="A17" s="6" t="s">
        <v>9</v>
      </c>
      <c r="B17" s="923" t="s">
        <v>26</v>
      </c>
      <c r="C17" s="923"/>
      <c r="D17" s="923"/>
      <c r="E17" s="920" t="s">
        <v>34</v>
      </c>
      <c r="F17" s="920"/>
      <c r="G17" s="920"/>
      <c r="H17" s="920" t="s">
        <v>27</v>
      </c>
      <c r="I17" s="920"/>
      <c r="J17" s="2"/>
      <c r="K17" s="2"/>
      <c r="L17" s="2"/>
      <c r="M17" s="2"/>
      <c r="N17" s="2"/>
      <c r="O17" s="2"/>
      <c r="P17" s="2"/>
      <c r="Q17" s="2"/>
    </row>
    <row r="18" spans="1:17" ht="15.75" x14ac:dyDescent="0.25">
      <c r="A18" s="824">
        <v>1</v>
      </c>
      <c r="B18" s="920">
        <v>2</v>
      </c>
      <c r="C18" s="920"/>
      <c r="D18" s="920"/>
      <c r="E18" s="920">
        <v>3</v>
      </c>
      <c r="F18" s="920"/>
      <c r="G18" s="920"/>
      <c r="H18" s="920">
        <v>4</v>
      </c>
      <c r="I18" s="920"/>
      <c r="J18" s="2"/>
      <c r="K18" s="2"/>
      <c r="L18" s="2"/>
      <c r="M18" s="2"/>
      <c r="N18" s="2"/>
      <c r="O18" s="2"/>
      <c r="P18" s="2"/>
      <c r="Q18" s="2"/>
    </row>
    <row r="19" spans="1:17" ht="30" customHeight="1" x14ac:dyDescent="0.25">
      <c r="A19" s="6"/>
      <c r="B19" s="920" t="s">
        <v>309</v>
      </c>
      <c r="C19" s="920"/>
      <c r="D19" s="920"/>
      <c r="E19" s="920">
        <v>1</v>
      </c>
      <c r="F19" s="920"/>
      <c r="G19" s="920"/>
      <c r="H19" s="920" t="s">
        <v>310</v>
      </c>
      <c r="I19" s="920"/>
      <c r="J19" s="2"/>
      <c r="K19" s="2"/>
      <c r="L19" s="2"/>
      <c r="M19" s="2"/>
      <c r="N19" s="2"/>
      <c r="O19" s="2"/>
      <c r="P19" s="2"/>
      <c r="Q19" s="2"/>
    </row>
    <row r="20" spans="1:17" ht="15.75" x14ac:dyDescent="0.25">
      <c r="A20" s="6"/>
      <c r="B20" s="920"/>
      <c r="C20" s="920"/>
      <c r="D20" s="920"/>
      <c r="E20" s="920"/>
      <c r="F20" s="920"/>
      <c r="G20" s="920"/>
      <c r="H20" s="920"/>
      <c r="I20" s="920"/>
      <c r="J20" s="2"/>
      <c r="K20" s="2"/>
      <c r="L20" s="2"/>
      <c r="M20" s="2"/>
      <c r="N20" s="2"/>
      <c r="O20" s="2"/>
      <c r="P20" s="2"/>
      <c r="Q20" s="2"/>
    </row>
    <row r="21" spans="1:17" ht="15.75" x14ac:dyDescent="0.25">
      <c r="A21" s="4"/>
      <c r="B21" s="4"/>
      <c r="C21" s="4"/>
      <c r="D21" s="4"/>
      <c r="E21" s="4"/>
      <c r="F21" s="4"/>
      <c r="G21" s="4"/>
      <c r="H21" s="4"/>
      <c r="I21" s="4"/>
      <c r="J21" s="2"/>
      <c r="K21" s="2"/>
      <c r="L21" s="2"/>
      <c r="M21" s="2"/>
      <c r="N21" s="2"/>
      <c r="O21" s="2"/>
      <c r="P21" s="2"/>
      <c r="Q21" s="2"/>
    </row>
    <row r="22" spans="1:17" ht="15.75" x14ac:dyDescent="0.25">
      <c r="A22" s="917" t="s">
        <v>39</v>
      </c>
      <c r="B22" s="917"/>
      <c r="C22" s="917"/>
      <c r="D22" s="917"/>
      <c r="E22" s="917"/>
      <c r="F22" s="917"/>
      <c r="G22" s="917"/>
      <c r="H22" s="917"/>
      <c r="I22" s="917"/>
      <c r="J22" s="2"/>
      <c r="K22" s="2"/>
      <c r="L22" s="2"/>
      <c r="M22" s="2"/>
      <c r="N22" s="2"/>
      <c r="O22" s="2"/>
      <c r="P22" s="2"/>
      <c r="Q22" s="2"/>
    </row>
    <row r="23" spans="1:17" ht="15.75" x14ac:dyDescent="0.25">
      <c r="A23" s="918" t="s">
        <v>312</v>
      </c>
      <c r="B23" s="918"/>
      <c r="C23" s="918"/>
      <c r="D23" s="918"/>
      <c r="E23" s="918"/>
      <c r="F23" s="918"/>
      <c r="G23" s="918"/>
      <c r="H23" s="918"/>
      <c r="I23" s="918"/>
      <c r="J23" s="2"/>
      <c r="K23" s="2"/>
      <c r="L23" s="2"/>
      <c r="M23" s="2"/>
      <c r="N23" s="2"/>
      <c r="O23" s="2"/>
      <c r="P23" s="2"/>
      <c r="Q23" s="2"/>
    </row>
    <row r="24" spans="1:17" ht="15.75" x14ac:dyDescent="0.25">
      <c r="A24" s="919" t="s">
        <v>120</v>
      </c>
      <c r="B24" s="919"/>
      <c r="C24" s="919"/>
      <c r="D24" s="919"/>
      <c r="E24" s="919"/>
      <c r="F24" s="919"/>
      <c r="G24" s="919"/>
      <c r="H24" s="919"/>
      <c r="I24" s="919"/>
      <c r="J24" s="2"/>
      <c r="K24" s="2"/>
      <c r="L24" s="2"/>
      <c r="M24" s="2"/>
      <c r="N24" s="2"/>
      <c r="O24" s="2"/>
      <c r="P24" s="2"/>
      <c r="Q24" s="2"/>
    </row>
    <row r="25" spans="1:17" ht="15.75" x14ac:dyDescent="0.25">
      <c r="A25" s="4"/>
      <c r="B25" s="4"/>
      <c r="C25" s="4"/>
      <c r="D25" s="4"/>
      <c r="E25" s="4"/>
      <c r="F25" s="4"/>
      <c r="G25" s="4"/>
      <c r="H25" s="4"/>
      <c r="I25" s="4"/>
      <c r="J25" s="2"/>
      <c r="K25" s="2"/>
      <c r="L25" s="2"/>
      <c r="M25" s="2"/>
      <c r="N25" s="2"/>
      <c r="O25" s="2"/>
      <c r="P25" s="2"/>
      <c r="Q25" s="2"/>
    </row>
    <row r="26" spans="1:17" ht="31.5" x14ac:dyDescent="0.25">
      <c r="A26" s="6" t="s">
        <v>9</v>
      </c>
      <c r="B26" s="923" t="s">
        <v>26</v>
      </c>
      <c r="C26" s="923"/>
      <c r="D26" s="923"/>
      <c r="E26" s="920" t="s">
        <v>34</v>
      </c>
      <c r="F26" s="920"/>
      <c r="G26" s="920"/>
      <c r="H26" s="920" t="s">
        <v>27</v>
      </c>
      <c r="I26" s="920"/>
      <c r="J26" s="2"/>
      <c r="K26" s="2"/>
      <c r="L26" s="2"/>
      <c r="M26" s="2"/>
      <c r="N26" s="2"/>
      <c r="O26" s="2"/>
      <c r="P26" s="2"/>
      <c r="Q26" s="2"/>
    </row>
    <row r="27" spans="1:17" ht="15.75" x14ac:dyDescent="0.25">
      <c r="A27" s="824">
        <v>1</v>
      </c>
      <c r="B27" s="920">
        <v>2</v>
      </c>
      <c r="C27" s="920"/>
      <c r="D27" s="920"/>
      <c r="E27" s="920">
        <v>3</v>
      </c>
      <c r="F27" s="920"/>
      <c r="G27" s="920"/>
      <c r="H27" s="920">
        <v>4</v>
      </c>
      <c r="I27" s="920"/>
      <c r="J27" s="2"/>
      <c r="K27" s="2"/>
      <c r="L27" s="2"/>
      <c r="M27" s="2"/>
      <c r="N27" s="2"/>
      <c r="O27" s="2"/>
      <c r="P27" s="2"/>
      <c r="Q27" s="2"/>
    </row>
    <row r="28" spans="1:17" ht="35.25" customHeight="1" x14ac:dyDescent="0.25">
      <c r="A28" s="6"/>
      <c r="B28" s="920" t="s">
        <v>309</v>
      </c>
      <c r="C28" s="920"/>
      <c r="D28" s="920"/>
      <c r="E28" s="920">
        <v>1</v>
      </c>
      <c r="F28" s="920"/>
      <c r="G28" s="920"/>
      <c r="H28" s="920" t="s">
        <v>310</v>
      </c>
      <c r="I28" s="920"/>
      <c r="J28" s="2"/>
      <c r="K28" s="2"/>
      <c r="L28" s="2"/>
      <c r="M28" s="2"/>
      <c r="N28" s="2"/>
      <c r="O28" s="2"/>
      <c r="P28" s="2"/>
      <c r="Q28" s="2"/>
    </row>
    <row r="29" spans="1:17" ht="15.75" x14ac:dyDescent="0.25">
      <c r="A29" s="6"/>
      <c r="B29" s="920"/>
      <c r="C29" s="920"/>
      <c r="D29" s="920"/>
      <c r="E29" s="920"/>
      <c r="F29" s="920"/>
      <c r="G29" s="920"/>
      <c r="H29" s="920"/>
      <c r="I29" s="920"/>
      <c r="J29" s="2"/>
      <c r="K29" s="2"/>
      <c r="L29" s="2"/>
      <c r="M29" s="2"/>
      <c r="N29" s="2"/>
      <c r="O29" s="2"/>
      <c r="P29" s="2"/>
      <c r="Q29" s="2"/>
    </row>
    <row r="30" spans="1:17" x14ac:dyDescent="0.25">
      <c r="A30" s="3"/>
      <c r="B30" s="3"/>
      <c r="C30" s="3"/>
      <c r="D30" s="3"/>
      <c r="E30" s="3"/>
      <c r="F30" s="3"/>
      <c r="G30" s="3"/>
      <c r="H30" s="3"/>
      <c r="I30" s="3"/>
      <c r="J30" s="2"/>
      <c r="K30" s="2"/>
      <c r="L30" s="2"/>
      <c r="M30" s="2"/>
      <c r="N30" s="2"/>
      <c r="O30" s="2"/>
      <c r="P30" s="2"/>
      <c r="Q30" s="2"/>
    </row>
    <row r="31" spans="1:17" ht="15.75" x14ac:dyDescent="0.25">
      <c r="A31" s="917" t="s">
        <v>313</v>
      </c>
      <c r="B31" s="917"/>
      <c r="C31" s="917"/>
      <c r="D31" s="917"/>
      <c r="E31" s="917"/>
      <c r="F31" s="917"/>
      <c r="G31" s="917"/>
      <c r="H31" s="917"/>
      <c r="I31" s="917"/>
      <c r="J31" s="2"/>
      <c r="K31" s="2"/>
      <c r="L31" s="2"/>
      <c r="M31" s="2"/>
      <c r="N31" s="2"/>
      <c r="O31" s="2"/>
      <c r="P31" s="2"/>
      <c r="Q31" s="2"/>
    </row>
    <row r="32" spans="1:17" ht="15.75" x14ac:dyDescent="0.25">
      <c r="A32" s="918" t="s">
        <v>314</v>
      </c>
      <c r="B32" s="918"/>
      <c r="C32" s="918"/>
      <c r="D32" s="918"/>
      <c r="E32" s="918"/>
      <c r="F32" s="918"/>
      <c r="G32" s="918"/>
      <c r="H32" s="918"/>
      <c r="I32" s="918"/>
      <c r="J32" s="2"/>
      <c r="K32" s="2"/>
      <c r="L32" s="2"/>
      <c r="M32" s="2"/>
      <c r="N32" s="2"/>
      <c r="O32" s="2"/>
      <c r="P32" s="2"/>
      <c r="Q32" s="2"/>
    </row>
    <row r="33" spans="1:17" ht="15.75" x14ac:dyDescent="0.25">
      <c r="A33" s="919" t="s">
        <v>294</v>
      </c>
      <c r="B33" s="919"/>
      <c r="C33" s="919"/>
      <c r="D33" s="919"/>
      <c r="E33" s="919"/>
      <c r="F33" s="919"/>
      <c r="G33" s="919"/>
      <c r="H33" s="919"/>
      <c r="I33" s="919"/>
      <c r="J33" s="2"/>
      <c r="K33" s="2"/>
      <c r="L33" s="2"/>
      <c r="M33" s="2"/>
      <c r="N33" s="2"/>
      <c r="O33" s="2"/>
      <c r="P33" s="2"/>
      <c r="Q33" s="2"/>
    </row>
    <row r="34" spans="1:17" ht="15.75" x14ac:dyDescent="0.25">
      <c r="A34" s="4"/>
      <c r="B34" s="4"/>
      <c r="C34" s="4"/>
      <c r="D34" s="4"/>
      <c r="E34" s="4"/>
      <c r="F34" s="4"/>
      <c r="G34" s="4"/>
      <c r="H34" s="4"/>
      <c r="I34" s="4"/>
      <c r="J34" s="2"/>
      <c r="K34" s="2"/>
      <c r="L34" s="2"/>
      <c r="M34" s="2"/>
      <c r="N34" s="2"/>
      <c r="O34" s="2"/>
      <c r="P34" s="2"/>
      <c r="Q34" s="2"/>
    </row>
    <row r="35" spans="1:17" ht="31.5" x14ac:dyDescent="0.25">
      <c r="A35" s="6" t="s">
        <v>9</v>
      </c>
      <c r="B35" s="923" t="s">
        <v>26</v>
      </c>
      <c r="C35" s="923"/>
      <c r="D35" s="923"/>
      <c r="E35" s="920" t="s">
        <v>34</v>
      </c>
      <c r="F35" s="920"/>
      <c r="G35" s="920"/>
      <c r="H35" s="920" t="s">
        <v>27</v>
      </c>
      <c r="I35" s="920"/>
      <c r="J35" s="2"/>
      <c r="K35" s="2"/>
      <c r="L35" s="2"/>
      <c r="M35" s="2"/>
      <c r="N35" s="2"/>
      <c r="O35" s="2"/>
      <c r="P35" s="2"/>
      <c r="Q35" s="2"/>
    </row>
    <row r="36" spans="1:17" ht="15.75" x14ac:dyDescent="0.25">
      <c r="A36" s="824">
        <v>1</v>
      </c>
      <c r="B36" s="920">
        <v>2</v>
      </c>
      <c r="C36" s="920"/>
      <c r="D36" s="920"/>
      <c r="E36" s="920">
        <v>3</v>
      </c>
      <c r="F36" s="920"/>
      <c r="G36" s="920"/>
      <c r="H36" s="920">
        <v>4</v>
      </c>
      <c r="I36" s="920"/>
    </row>
    <row r="37" spans="1:17" ht="28.5" customHeight="1" x14ac:dyDescent="0.25">
      <c r="A37" s="6"/>
      <c r="B37" s="920" t="s">
        <v>309</v>
      </c>
      <c r="C37" s="920"/>
      <c r="D37" s="920"/>
      <c r="E37" s="920">
        <v>1</v>
      </c>
      <c r="F37" s="920"/>
      <c r="G37" s="920"/>
      <c r="H37" s="920" t="s">
        <v>310</v>
      </c>
      <c r="I37" s="920"/>
    </row>
    <row r="38" spans="1:17" ht="15.75" x14ac:dyDescent="0.25">
      <c r="A38" s="6"/>
      <c r="B38" s="920"/>
      <c r="C38" s="920"/>
      <c r="D38" s="920"/>
      <c r="E38" s="920"/>
      <c r="F38" s="920"/>
      <c r="G38" s="920"/>
      <c r="H38" s="920"/>
      <c r="I38" s="920"/>
    </row>
    <row r="40" spans="1:17" ht="15.75" x14ac:dyDescent="0.25">
      <c r="A40" s="917" t="s">
        <v>300</v>
      </c>
      <c r="B40" s="917"/>
      <c r="C40" s="917"/>
      <c r="D40" s="917"/>
      <c r="E40" s="917"/>
      <c r="F40" s="917"/>
      <c r="G40" s="917"/>
      <c r="H40" s="917"/>
      <c r="I40" s="917"/>
    </row>
    <row r="41" spans="1:17" ht="15.75" x14ac:dyDescent="0.25">
      <c r="A41" s="918" t="s">
        <v>304</v>
      </c>
      <c r="B41" s="918"/>
      <c r="C41" s="918"/>
      <c r="D41" s="918"/>
      <c r="E41" s="918"/>
      <c r="F41" s="918"/>
      <c r="G41" s="918"/>
      <c r="H41" s="918"/>
      <c r="I41" s="918"/>
    </row>
    <row r="42" spans="1:17" ht="15.75" x14ac:dyDescent="0.25">
      <c r="A42" s="919" t="s">
        <v>295</v>
      </c>
      <c r="B42" s="919"/>
      <c r="C42" s="919"/>
      <c r="D42" s="919"/>
      <c r="E42" s="919"/>
      <c r="F42" s="919"/>
      <c r="G42" s="919"/>
      <c r="H42" s="919"/>
      <c r="I42" s="919"/>
    </row>
    <row r="43" spans="1:17" ht="15.75" x14ac:dyDescent="0.25">
      <c r="A43" s="4"/>
      <c r="B43" s="4"/>
      <c r="C43" s="4"/>
      <c r="D43" s="4"/>
      <c r="E43" s="4"/>
      <c r="F43" s="4"/>
      <c r="G43" s="4"/>
      <c r="H43" s="4"/>
      <c r="I43" s="4"/>
    </row>
    <row r="44" spans="1:17" ht="31.5" x14ac:dyDescent="0.25">
      <c r="A44" s="6" t="s">
        <v>9</v>
      </c>
      <c r="B44" s="923" t="s">
        <v>26</v>
      </c>
      <c r="C44" s="923"/>
      <c r="D44" s="923"/>
      <c r="E44" s="920" t="s">
        <v>34</v>
      </c>
      <c r="F44" s="920"/>
      <c r="G44" s="920"/>
      <c r="H44" s="920" t="s">
        <v>27</v>
      </c>
      <c r="I44" s="920"/>
    </row>
    <row r="45" spans="1:17" ht="15.75" x14ac:dyDescent="0.25">
      <c r="A45" s="824">
        <v>1</v>
      </c>
      <c r="B45" s="920">
        <v>2</v>
      </c>
      <c r="C45" s="920"/>
      <c r="D45" s="920"/>
      <c r="E45" s="920">
        <v>3</v>
      </c>
      <c r="F45" s="920"/>
      <c r="G45" s="920"/>
      <c r="H45" s="920">
        <v>4</v>
      </c>
      <c r="I45" s="920"/>
    </row>
    <row r="46" spans="1:17" ht="31.5" customHeight="1" x14ac:dyDescent="0.25">
      <c r="A46" s="6"/>
      <c r="B46" s="920" t="s">
        <v>309</v>
      </c>
      <c r="C46" s="920"/>
      <c r="D46" s="920"/>
      <c r="E46" s="920">
        <v>1</v>
      </c>
      <c r="F46" s="920"/>
      <c r="G46" s="920"/>
      <c r="H46" s="920" t="s">
        <v>310</v>
      </c>
      <c r="I46" s="920"/>
    </row>
    <row r="47" spans="1:17" ht="15.75" x14ac:dyDescent="0.25">
      <c r="A47" s="6"/>
      <c r="B47" s="920"/>
      <c r="C47" s="920"/>
      <c r="D47" s="920"/>
      <c r="E47" s="920"/>
      <c r="F47" s="920"/>
      <c r="G47" s="920"/>
      <c r="H47" s="920"/>
      <c r="I47" s="920"/>
    </row>
    <row r="49" spans="1:9" ht="15.75" x14ac:dyDescent="0.25">
      <c r="A49" s="917" t="s">
        <v>315</v>
      </c>
      <c r="B49" s="917"/>
      <c r="C49" s="917"/>
      <c r="D49" s="917"/>
      <c r="E49" s="917"/>
      <c r="F49" s="917"/>
      <c r="G49" s="917"/>
      <c r="H49" s="917"/>
      <c r="I49" s="917"/>
    </row>
    <row r="50" spans="1:9" ht="15.75" x14ac:dyDescent="0.25">
      <c r="A50" s="918" t="s">
        <v>305</v>
      </c>
      <c r="B50" s="918"/>
      <c r="C50" s="918"/>
      <c r="D50" s="918"/>
      <c r="E50" s="918"/>
      <c r="F50" s="918"/>
      <c r="G50" s="918"/>
      <c r="H50" s="918"/>
      <c r="I50" s="918"/>
    </row>
    <row r="51" spans="1:9" ht="15.75" x14ac:dyDescent="0.25">
      <c r="A51" s="919" t="s">
        <v>296</v>
      </c>
      <c r="B51" s="919"/>
      <c r="C51" s="919"/>
      <c r="D51" s="919"/>
      <c r="E51" s="919"/>
      <c r="F51" s="919"/>
      <c r="G51" s="919"/>
      <c r="H51" s="919"/>
      <c r="I51" s="919"/>
    </row>
    <row r="52" spans="1:9" ht="15.75" x14ac:dyDescent="0.25">
      <c r="A52" s="4"/>
      <c r="B52" s="4"/>
      <c r="C52" s="4"/>
      <c r="D52" s="4"/>
      <c r="E52" s="4"/>
      <c r="F52" s="4"/>
      <c r="G52" s="4"/>
      <c r="H52" s="4"/>
      <c r="I52" s="4"/>
    </row>
    <row r="53" spans="1:9" ht="31.5" x14ac:dyDescent="0.25">
      <c r="A53" s="6" t="s">
        <v>9</v>
      </c>
      <c r="B53" s="923" t="s">
        <v>26</v>
      </c>
      <c r="C53" s="923"/>
      <c r="D53" s="923"/>
      <c r="E53" s="920" t="s">
        <v>34</v>
      </c>
      <c r="F53" s="920"/>
      <c r="G53" s="920"/>
      <c r="H53" s="920" t="s">
        <v>27</v>
      </c>
      <c r="I53" s="920"/>
    </row>
    <row r="54" spans="1:9" ht="15.75" x14ac:dyDescent="0.25">
      <c r="A54" s="824">
        <v>1</v>
      </c>
      <c r="B54" s="920">
        <v>2</v>
      </c>
      <c r="C54" s="920"/>
      <c r="D54" s="920"/>
      <c r="E54" s="920">
        <v>3</v>
      </c>
      <c r="F54" s="920"/>
      <c r="G54" s="920"/>
      <c r="H54" s="920">
        <v>4</v>
      </c>
      <c r="I54" s="920"/>
    </row>
    <row r="55" spans="1:9" ht="35.25" customHeight="1" x14ac:dyDescent="0.25">
      <c r="A55" s="6"/>
      <c r="B55" s="920" t="s">
        <v>309</v>
      </c>
      <c r="C55" s="920"/>
      <c r="D55" s="920"/>
      <c r="E55" s="920">
        <v>1</v>
      </c>
      <c r="F55" s="920"/>
      <c r="G55" s="920"/>
      <c r="H55" s="920" t="s">
        <v>310</v>
      </c>
      <c r="I55" s="920"/>
    </row>
    <row r="56" spans="1:9" ht="15.75" x14ac:dyDescent="0.25">
      <c r="A56" s="6"/>
      <c r="B56" s="920"/>
      <c r="C56" s="920"/>
      <c r="D56" s="920"/>
      <c r="E56" s="920"/>
      <c r="F56" s="920"/>
      <c r="G56" s="920"/>
      <c r="H56" s="920"/>
      <c r="I56" s="920"/>
    </row>
    <row r="58" spans="1:9" ht="15.75" x14ac:dyDescent="0.25">
      <c r="A58" s="917" t="s">
        <v>316</v>
      </c>
      <c r="B58" s="917"/>
      <c r="C58" s="917"/>
      <c r="D58" s="917"/>
      <c r="E58" s="917"/>
      <c r="F58" s="917"/>
      <c r="G58" s="917"/>
      <c r="H58" s="917"/>
      <c r="I58" s="917"/>
    </row>
    <row r="59" spans="1:9" ht="15.75" x14ac:dyDescent="0.25">
      <c r="A59" s="918" t="s">
        <v>317</v>
      </c>
      <c r="B59" s="918"/>
      <c r="C59" s="918"/>
      <c r="D59" s="918"/>
      <c r="E59" s="918"/>
      <c r="F59" s="918"/>
      <c r="G59" s="918"/>
      <c r="H59" s="918"/>
      <c r="I59" s="918"/>
    </row>
    <row r="60" spans="1:9" ht="15.75" x14ac:dyDescent="0.25">
      <c r="A60" s="919" t="s">
        <v>121</v>
      </c>
      <c r="B60" s="919"/>
      <c r="C60" s="919"/>
      <c r="D60" s="919"/>
      <c r="E60" s="919"/>
      <c r="F60" s="919"/>
      <c r="G60" s="919"/>
      <c r="H60" s="919"/>
      <c r="I60" s="919"/>
    </row>
    <row r="61" spans="1:9" ht="15.75" x14ac:dyDescent="0.25">
      <c r="A61" s="4"/>
      <c r="B61" s="4"/>
      <c r="C61" s="4"/>
      <c r="D61" s="4"/>
      <c r="E61" s="4"/>
      <c r="F61" s="4"/>
      <c r="G61" s="4"/>
      <c r="H61" s="4"/>
      <c r="I61" s="4"/>
    </row>
    <row r="62" spans="1:9" ht="31.5" x14ac:dyDescent="0.25">
      <c r="A62" s="6" t="s">
        <v>9</v>
      </c>
      <c r="B62" s="923" t="s">
        <v>26</v>
      </c>
      <c r="C62" s="923"/>
      <c r="D62" s="923"/>
      <c r="E62" s="920" t="s">
        <v>34</v>
      </c>
      <c r="F62" s="920"/>
      <c r="G62" s="920"/>
      <c r="H62" s="920" t="s">
        <v>27</v>
      </c>
      <c r="I62" s="920"/>
    </row>
    <row r="63" spans="1:9" ht="15.75" x14ac:dyDescent="0.25">
      <c r="A63" s="824">
        <v>1</v>
      </c>
      <c r="B63" s="920">
        <v>2</v>
      </c>
      <c r="C63" s="920"/>
      <c r="D63" s="920"/>
      <c r="E63" s="920">
        <v>3</v>
      </c>
      <c r="F63" s="920"/>
      <c r="G63" s="920"/>
      <c r="H63" s="920">
        <v>4</v>
      </c>
      <c r="I63" s="920"/>
    </row>
    <row r="64" spans="1:9" ht="30.75" customHeight="1" x14ac:dyDescent="0.25">
      <c r="A64" s="6"/>
      <c r="B64" s="920" t="s">
        <v>309</v>
      </c>
      <c r="C64" s="920"/>
      <c r="D64" s="920"/>
      <c r="E64" s="920">
        <v>1</v>
      </c>
      <c r="F64" s="920"/>
      <c r="G64" s="920"/>
      <c r="H64" s="920" t="s">
        <v>310</v>
      </c>
      <c r="I64" s="920"/>
    </row>
    <row r="65" spans="1:9" ht="15.75" x14ac:dyDescent="0.25">
      <c r="A65" s="6"/>
      <c r="B65" s="920"/>
      <c r="C65" s="920"/>
      <c r="D65" s="920"/>
      <c r="E65" s="920"/>
      <c r="F65" s="920"/>
      <c r="G65" s="920"/>
      <c r="H65" s="920"/>
      <c r="I65" s="920"/>
    </row>
    <row r="67" spans="1:9" ht="15.75" x14ac:dyDescent="0.25">
      <c r="A67" s="917" t="s">
        <v>318</v>
      </c>
      <c r="B67" s="917"/>
      <c r="C67" s="917"/>
      <c r="D67" s="917"/>
      <c r="E67" s="917"/>
      <c r="F67" s="917"/>
      <c r="G67" s="917"/>
      <c r="H67" s="917"/>
      <c r="I67" s="917"/>
    </row>
    <row r="68" spans="1:9" ht="15.75" x14ac:dyDescent="0.25">
      <c r="A68" s="918" t="s">
        <v>161</v>
      </c>
      <c r="B68" s="918"/>
      <c r="C68" s="918"/>
      <c r="D68" s="918"/>
      <c r="E68" s="918"/>
      <c r="F68" s="918"/>
      <c r="G68" s="918"/>
      <c r="H68" s="918"/>
      <c r="I68" s="918"/>
    </row>
    <row r="69" spans="1:9" ht="15.75" x14ac:dyDescent="0.25">
      <c r="A69" s="919" t="s">
        <v>123</v>
      </c>
      <c r="B69" s="919"/>
      <c r="C69" s="919"/>
      <c r="D69" s="919"/>
      <c r="E69" s="919"/>
      <c r="F69" s="919"/>
      <c r="G69" s="919"/>
      <c r="H69" s="919"/>
      <c r="I69" s="919"/>
    </row>
    <row r="70" spans="1:9" ht="15.75" x14ac:dyDescent="0.25">
      <c r="A70" s="4"/>
      <c r="B70" s="4"/>
      <c r="C70" s="4"/>
      <c r="D70" s="4"/>
      <c r="E70" s="4"/>
      <c r="F70" s="4"/>
      <c r="G70" s="4"/>
      <c r="H70" s="4"/>
      <c r="I70" s="4"/>
    </row>
    <row r="71" spans="1:9" ht="31.5" x14ac:dyDescent="0.25">
      <c r="A71" s="6" t="s">
        <v>9</v>
      </c>
      <c r="B71" s="923" t="s">
        <v>26</v>
      </c>
      <c r="C71" s="923"/>
      <c r="D71" s="923"/>
      <c r="E71" s="920" t="s">
        <v>34</v>
      </c>
      <c r="F71" s="920"/>
      <c r="G71" s="920"/>
      <c r="H71" s="920" t="s">
        <v>27</v>
      </c>
      <c r="I71" s="920"/>
    </row>
    <row r="72" spans="1:9" ht="15.75" x14ac:dyDescent="0.25">
      <c r="A72" s="824">
        <v>1</v>
      </c>
      <c r="B72" s="920">
        <v>2</v>
      </c>
      <c r="C72" s="920"/>
      <c r="D72" s="920"/>
      <c r="E72" s="920">
        <v>3</v>
      </c>
      <c r="F72" s="920"/>
      <c r="G72" s="920"/>
      <c r="H72" s="920">
        <v>4</v>
      </c>
      <c r="I72" s="920"/>
    </row>
    <row r="73" spans="1:9" ht="27" customHeight="1" x14ac:dyDescent="0.25">
      <c r="A73" s="6"/>
      <c r="B73" s="920" t="s">
        <v>309</v>
      </c>
      <c r="C73" s="920"/>
      <c r="D73" s="920"/>
      <c r="E73" s="920">
        <v>1</v>
      </c>
      <c r="F73" s="920"/>
      <c r="G73" s="920"/>
      <c r="H73" s="920" t="s">
        <v>310</v>
      </c>
      <c r="I73" s="920"/>
    </row>
    <row r="74" spans="1:9" ht="15.75" x14ac:dyDescent="0.25">
      <c r="A74" s="6"/>
      <c r="B74" s="920"/>
      <c r="C74" s="920"/>
      <c r="D74" s="920"/>
      <c r="E74" s="920"/>
      <c r="F74" s="920"/>
      <c r="G74" s="920"/>
      <c r="H74" s="920"/>
      <c r="I74" s="920"/>
    </row>
    <row r="76" spans="1:9" ht="15.75" x14ac:dyDescent="0.25">
      <c r="A76" s="917" t="s">
        <v>300</v>
      </c>
      <c r="B76" s="917"/>
      <c r="C76" s="917"/>
      <c r="D76" s="917"/>
      <c r="E76" s="917"/>
      <c r="F76" s="917"/>
      <c r="G76" s="917"/>
      <c r="H76" s="917"/>
      <c r="I76" s="917"/>
    </row>
    <row r="77" spans="1:9" ht="15.75" x14ac:dyDescent="0.25">
      <c r="A77" s="918" t="s">
        <v>301</v>
      </c>
      <c r="B77" s="918"/>
      <c r="C77" s="918"/>
      <c r="D77" s="918"/>
      <c r="E77" s="918"/>
      <c r="F77" s="918"/>
      <c r="G77" s="918"/>
      <c r="H77" s="918"/>
      <c r="I77" s="918"/>
    </row>
    <row r="78" spans="1:9" ht="15.75" x14ac:dyDescent="0.25">
      <c r="A78" s="919" t="s">
        <v>124</v>
      </c>
      <c r="B78" s="919"/>
      <c r="C78" s="919"/>
      <c r="D78" s="919"/>
      <c r="E78" s="919"/>
      <c r="F78" s="919"/>
      <c r="G78" s="919"/>
      <c r="H78" s="919"/>
      <c r="I78" s="919"/>
    </row>
    <row r="79" spans="1:9" ht="15.75" x14ac:dyDescent="0.25">
      <c r="A79" s="4"/>
      <c r="B79" s="4"/>
      <c r="C79" s="4"/>
      <c r="D79" s="4"/>
      <c r="E79" s="4"/>
      <c r="F79" s="4"/>
      <c r="G79" s="4"/>
      <c r="H79" s="4"/>
      <c r="I79" s="4"/>
    </row>
    <row r="80" spans="1:9" ht="31.5" x14ac:dyDescent="0.25">
      <c r="A80" s="6" t="s">
        <v>9</v>
      </c>
      <c r="B80" s="923" t="s">
        <v>26</v>
      </c>
      <c r="C80" s="923"/>
      <c r="D80" s="923"/>
      <c r="E80" s="920" t="s">
        <v>34</v>
      </c>
      <c r="F80" s="920"/>
      <c r="G80" s="920"/>
      <c r="H80" s="920" t="s">
        <v>27</v>
      </c>
      <c r="I80" s="920"/>
    </row>
    <row r="81" spans="1:9" ht="15.75" x14ac:dyDescent="0.25">
      <c r="A81" s="824">
        <v>1</v>
      </c>
      <c r="B81" s="920">
        <v>2</v>
      </c>
      <c r="C81" s="920"/>
      <c r="D81" s="920"/>
      <c r="E81" s="920">
        <v>3</v>
      </c>
      <c r="F81" s="920"/>
      <c r="G81" s="920"/>
      <c r="H81" s="920">
        <v>4</v>
      </c>
      <c r="I81" s="920"/>
    </row>
    <row r="82" spans="1:9" ht="36.75" customHeight="1" x14ac:dyDescent="0.25">
      <c r="A82" s="6"/>
      <c r="B82" s="920" t="s">
        <v>309</v>
      </c>
      <c r="C82" s="920"/>
      <c r="D82" s="920"/>
      <c r="E82" s="920">
        <v>1</v>
      </c>
      <c r="F82" s="920"/>
      <c r="G82" s="920"/>
      <c r="H82" s="920" t="s">
        <v>310</v>
      </c>
      <c r="I82" s="920"/>
    </row>
    <row r="83" spans="1:9" ht="15.75" x14ac:dyDescent="0.25">
      <c r="A83" s="6"/>
      <c r="B83" s="920"/>
      <c r="C83" s="920"/>
      <c r="D83" s="920"/>
      <c r="E83" s="920"/>
      <c r="F83" s="920"/>
      <c r="G83" s="920"/>
      <c r="H83" s="920"/>
      <c r="I83" s="920"/>
    </row>
  </sheetData>
  <mergeCells count="138">
    <mergeCell ref="B83:D83"/>
    <mergeCell ref="E83:G83"/>
    <mergeCell ref="H83:I83"/>
    <mergeCell ref="B81:D81"/>
    <mergeCell ref="E81:G81"/>
    <mergeCell ref="H81:I81"/>
    <mergeCell ref="B82:D82"/>
    <mergeCell ref="E82:G82"/>
    <mergeCell ref="H82:I82"/>
    <mergeCell ref="A76:I76"/>
    <mergeCell ref="A77:I77"/>
    <mergeCell ref="A78:I78"/>
    <mergeCell ref="B80:D80"/>
    <mergeCell ref="E80:G80"/>
    <mergeCell ref="H80:I80"/>
    <mergeCell ref="B73:D73"/>
    <mergeCell ref="E73:G73"/>
    <mergeCell ref="H73:I73"/>
    <mergeCell ref="B74:D74"/>
    <mergeCell ref="E74:G74"/>
    <mergeCell ref="H74:I74"/>
    <mergeCell ref="A69:I69"/>
    <mergeCell ref="B71:D71"/>
    <mergeCell ref="E71:G71"/>
    <mergeCell ref="H71:I71"/>
    <mergeCell ref="B72:D72"/>
    <mergeCell ref="E72:G72"/>
    <mergeCell ref="H72:I72"/>
    <mergeCell ref="B65:D65"/>
    <mergeCell ref="E65:G65"/>
    <mergeCell ref="H65:I65"/>
    <mergeCell ref="A67:I67"/>
    <mergeCell ref="A68:I68"/>
    <mergeCell ref="B63:D63"/>
    <mergeCell ref="E63:G63"/>
    <mergeCell ref="H63:I63"/>
    <mergeCell ref="B64:D64"/>
    <mergeCell ref="E64:G64"/>
    <mergeCell ref="H64:I64"/>
    <mergeCell ref="A58:I58"/>
    <mergeCell ref="A59:I59"/>
    <mergeCell ref="A60:I60"/>
    <mergeCell ref="B62:D62"/>
    <mergeCell ref="E62:G62"/>
    <mergeCell ref="H62:I62"/>
    <mergeCell ref="B55:D55"/>
    <mergeCell ref="E55:G55"/>
    <mergeCell ref="H55:I55"/>
    <mergeCell ref="B56:D56"/>
    <mergeCell ref="E56:G56"/>
    <mergeCell ref="H56:I56"/>
    <mergeCell ref="A51:I51"/>
    <mergeCell ref="B53:D53"/>
    <mergeCell ref="E53:G53"/>
    <mergeCell ref="H53:I53"/>
    <mergeCell ref="B54:D54"/>
    <mergeCell ref="E54:G54"/>
    <mergeCell ref="H54:I54"/>
    <mergeCell ref="B47:D47"/>
    <mergeCell ref="E47:G47"/>
    <mergeCell ref="H47:I47"/>
    <mergeCell ref="A49:I49"/>
    <mergeCell ref="A50:I50"/>
    <mergeCell ref="B45:D45"/>
    <mergeCell ref="E45:G45"/>
    <mergeCell ref="H45:I45"/>
    <mergeCell ref="B46:D46"/>
    <mergeCell ref="E46:G46"/>
    <mergeCell ref="H46:I46"/>
    <mergeCell ref="A40:I40"/>
    <mergeCell ref="A41:I41"/>
    <mergeCell ref="A42:I42"/>
    <mergeCell ref="B44:D44"/>
    <mergeCell ref="E44:G44"/>
    <mergeCell ref="H44:I44"/>
    <mergeCell ref="B37:D37"/>
    <mergeCell ref="E37:G37"/>
    <mergeCell ref="H37:I37"/>
    <mergeCell ref="B38:D38"/>
    <mergeCell ref="E38:G38"/>
    <mergeCell ref="H38:I38"/>
    <mergeCell ref="A33:I33"/>
    <mergeCell ref="B35:D35"/>
    <mergeCell ref="E35:G35"/>
    <mergeCell ref="H35:I35"/>
    <mergeCell ref="B36:D36"/>
    <mergeCell ref="E36:G36"/>
    <mergeCell ref="H36:I36"/>
    <mergeCell ref="B29:D29"/>
    <mergeCell ref="E29:G29"/>
    <mergeCell ref="H29:I29"/>
    <mergeCell ref="A31:I31"/>
    <mergeCell ref="A32:I32"/>
    <mergeCell ref="B27:D27"/>
    <mergeCell ref="E27:G27"/>
    <mergeCell ref="H27:I27"/>
    <mergeCell ref="B28:D28"/>
    <mergeCell ref="E28:G28"/>
    <mergeCell ref="H28:I28"/>
    <mergeCell ref="A22:I22"/>
    <mergeCell ref="A23:I23"/>
    <mergeCell ref="A24:I24"/>
    <mergeCell ref="B26:D26"/>
    <mergeCell ref="E26:G26"/>
    <mergeCell ref="H26:I26"/>
    <mergeCell ref="B19:D19"/>
    <mergeCell ref="E19:G19"/>
    <mergeCell ref="H19:I19"/>
    <mergeCell ref="B20:D20"/>
    <mergeCell ref="E20:G20"/>
    <mergeCell ref="H20:I20"/>
    <mergeCell ref="B17:D17"/>
    <mergeCell ref="E17:G17"/>
    <mergeCell ref="H17:I17"/>
    <mergeCell ref="B18:D18"/>
    <mergeCell ref="E18:G18"/>
    <mergeCell ref="H18:I18"/>
    <mergeCell ref="A6:I6"/>
    <mergeCell ref="F1:I1"/>
    <mergeCell ref="A2:I2"/>
    <mergeCell ref="A3:I3"/>
    <mergeCell ref="A4:I4"/>
    <mergeCell ref="A5:I5"/>
    <mergeCell ref="B8:D8"/>
    <mergeCell ref="E8:G8"/>
    <mergeCell ref="H8:I8"/>
    <mergeCell ref="A13:I13"/>
    <mergeCell ref="A14:I14"/>
    <mergeCell ref="A15:I15"/>
    <mergeCell ref="B9:D9"/>
    <mergeCell ref="E9:G9"/>
    <mergeCell ref="H9:I9"/>
    <mergeCell ref="B10:D10"/>
    <mergeCell ref="E10:G10"/>
    <mergeCell ref="H10:I10"/>
    <mergeCell ref="B11:D11"/>
    <mergeCell ref="E11:G11"/>
    <mergeCell ref="H11:I11"/>
  </mergeCells>
  <pageMargins left="0.25" right="0.25" top="0.75" bottom="0.75" header="0.3" footer="0.3"/>
  <pageSetup paperSize="9" fitToHeight="0" orientation="portrait" r:id="rId1"/>
  <colBreaks count="1" manualBreakCount="1">
    <brk id="9" max="84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view="pageBreakPreview" zoomScale="85" zoomScaleSheetLayoutView="85" workbookViewId="0">
      <selection activeCell="F2" sqref="F2:I2"/>
    </sheetView>
  </sheetViews>
  <sheetFormatPr defaultRowHeight="15" x14ac:dyDescent="0.25"/>
  <cols>
    <col min="1" max="1" width="7.7109375" customWidth="1"/>
    <col min="2" max="4" width="7.85546875" customWidth="1"/>
    <col min="5" max="5" width="12.42578125" customWidth="1"/>
    <col min="8" max="9" width="12.140625" customWidth="1"/>
  </cols>
  <sheetData>
    <row r="1" spans="1:9" ht="15.75" x14ac:dyDescent="0.25">
      <c r="A1" s="4"/>
      <c r="B1" s="4"/>
      <c r="C1" s="4"/>
      <c r="D1" s="4"/>
      <c r="E1" s="4"/>
      <c r="F1" s="921" t="s">
        <v>28</v>
      </c>
      <c r="G1" s="921"/>
      <c r="H1" s="921"/>
      <c r="I1" s="921"/>
    </row>
    <row r="2" spans="1:9" ht="15.75" x14ac:dyDescent="0.25">
      <c r="A2" s="4"/>
      <c r="B2" s="4"/>
      <c r="C2" s="4"/>
      <c r="D2" s="4"/>
      <c r="E2" s="4"/>
      <c r="F2" s="921" t="s">
        <v>29</v>
      </c>
      <c r="G2" s="921"/>
      <c r="H2" s="921"/>
      <c r="I2" s="921"/>
    </row>
    <row r="3" spans="1:9" ht="15.75" x14ac:dyDescent="0.25">
      <c r="A3" s="4"/>
      <c r="B3" s="4"/>
      <c r="C3" s="4"/>
      <c r="D3" s="4"/>
      <c r="E3" s="4"/>
      <c r="F3" s="5"/>
      <c r="G3" s="5"/>
      <c r="H3" s="5"/>
      <c r="I3" s="5"/>
    </row>
    <row r="4" spans="1:9" ht="15.75" x14ac:dyDescent="0.25">
      <c r="A4" s="922" t="s">
        <v>30</v>
      </c>
      <c r="B4" s="922"/>
      <c r="C4" s="922"/>
      <c r="D4" s="922"/>
      <c r="E4" s="922"/>
      <c r="F4" s="922"/>
      <c r="G4" s="922"/>
      <c r="H4" s="922"/>
      <c r="I4" s="922"/>
    </row>
    <row r="5" spans="1:9" ht="15.75" x14ac:dyDescent="0.25">
      <c r="A5" s="922"/>
      <c r="B5" s="922"/>
      <c r="C5" s="922"/>
      <c r="D5" s="922"/>
      <c r="E5" s="922"/>
      <c r="F5" s="922"/>
      <c r="G5" s="922"/>
      <c r="H5" s="922"/>
      <c r="I5" s="922"/>
    </row>
    <row r="6" spans="1:9" ht="15.75" x14ac:dyDescent="0.25">
      <c r="A6" s="917" t="s">
        <v>7</v>
      </c>
      <c r="B6" s="917"/>
      <c r="C6" s="917"/>
      <c r="D6" s="917"/>
      <c r="E6" s="917"/>
      <c r="F6" s="917"/>
      <c r="G6" s="917"/>
      <c r="H6" s="917"/>
      <c r="I6" s="917"/>
    </row>
    <row r="7" spans="1:9" ht="15.75" x14ac:dyDescent="0.25">
      <c r="A7" s="918" t="s">
        <v>25</v>
      </c>
      <c r="B7" s="918"/>
      <c r="C7" s="918"/>
      <c r="D7" s="918"/>
      <c r="E7" s="918"/>
      <c r="F7" s="918"/>
      <c r="G7" s="918"/>
      <c r="H7" s="918"/>
      <c r="I7" s="918"/>
    </row>
    <row r="8" spans="1:9" ht="15.75" x14ac:dyDescent="0.25">
      <c r="A8" s="919" t="s">
        <v>8</v>
      </c>
      <c r="B8" s="919"/>
      <c r="C8" s="919"/>
      <c r="D8" s="919"/>
      <c r="E8" s="919"/>
      <c r="F8" s="919"/>
      <c r="G8" s="919"/>
      <c r="H8" s="919"/>
      <c r="I8" s="919"/>
    </row>
    <row r="9" spans="1:9" ht="15.75" x14ac:dyDescent="0.25">
      <c r="A9" s="4"/>
      <c r="B9" s="4"/>
      <c r="C9" s="4"/>
      <c r="D9" s="4"/>
      <c r="E9" s="4"/>
      <c r="F9" s="4"/>
      <c r="G9" s="4"/>
      <c r="H9" s="4"/>
      <c r="I9" s="4"/>
    </row>
    <row r="10" spans="1:9" ht="54.75" customHeight="1" x14ac:dyDescent="0.25">
      <c r="A10" s="6" t="s">
        <v>9</v>
      </c>
      <c r="B10" s="925" t="s">
        <v>10</v>
      </c>
      <c r="C10" s="926"/>
      <c r="D10" s="927"/>
      <c r="E10" s="6" t="s">
        <v>12</v>
      </c>
      <c r="F10" s="928" t="s">
        <v>31</v>
      </c>
      <c r="G10" s="929"/>
      <c r="H10" s="928" t="s">
        <v>32</v>
      </c>
      <c r="I10" s="929"/>
    </row>
    <row r="11" spans="1:9" ht="15.75" x14ac:dyDescent="0.25">
      <c r="A11" s="7">
        <v>1</v>
      </c>
      <c r="B11" s="930">
        <v>2</v>
      </c>
      <c r="C11" s="931"/>
      <c r="D11" s="932"/>
      <c r="E11" s="7">
        <v>3</v>
      </c>
      <c r="F11" s="928">
        <v>4</v>
      </c>
      <c r="G11" s="929"/>
      <c r="H11" s="928">
        <v>5</v>
      </c>
      <c r="I11" s="929"/>
    </row>
    <row r="12" spans="1:9" ht="18.75" customHeight="1" x14ac:dyDescent="0.3">
      <c r="A12" s="924" t="s">
        <v>18</v>
      </c>
      <c r="B12" s="924"/>
      <c r="C12" s="924"/>
      <c r="D12" s="924"/>
      <c r="E12" s="924"/>
      <c r="F12" s="924"/>
      <c r="G12" s="924"/>
      <c r="H12" s="924"/>
      <c r="I12" s="924"/>
    </row>
    <row r="13" spans="1:9" ht="18.75" x14ac:dyDescent="0.3">
      <c r="A13" s="936" t="s">
        <v>14</v>
      </c>
      <c r="B13" s="936"/>
      <c r="C13" s="936"/>
      <c r="D13" s="936"/>
      <c r="E13" s="936"/>
      <c r="F13" s="936"/>
      <c r="G13" s="936"/>
      <c r="H13" s="936"/>
      <c r="I13" s="936"/>
    </row>
    <row r="14" spans="1:9" ht="18.75" x14ac:dyDescent="0.3">
      <c r="A14" s="1"/>
      <c r="B14" s="933"/>
      <c r="C14" s="935"/>
      <c r="D14" s="934"/>
      <c r="E14" s="8"/>
      <c r="F14" s="933"/>
      <c r="G14" s="934"/>
      <c r="H14" s="933"/>
      <c r="I14" s="934"/>
    </row>
    <row r="15" spans="1:9" ht="18.75" x14ac:dyDescent="0.3">
      <c r="A15" s="1"/>
      <c r="B15" s="933"/>
      <c r="C15" s="935"/>
      <c r="D15" s="934"/>
      <c r="E15" s="8"/>
      <c r="F15" s="933"/>
      <c r="G15" s="934"/>
      <c r="H15" s="933"/>
      <c r="I15" s="934"/>
    </row>
    <row r="16" spans="1:9" ht="18.75" x14ac:dyDescent="0.3">
      <c r="A16" s="1"/>
      <c r="B16" s="933"/>
      <c r="C16" s="935"/>
      <c r="D16" s="934"/>
      <c r="E16" s="8"/>
      <c r="F16" s="933"/>
      <c r="G16" s="934"/>
      <c r="H16" s="933"/>
      <c r="I16" s="934"/>
    </row>
    <row r="17" spans="1:9" ht="18.75" customHeight="1" x14ac:dyDescent="0.3">
      <c r="A17" s="1"/>
      <c r="B17" s="933"/>
      <c r="C17" s="935"/>
      <c r="D17" s="934"/>
      <c r="E17" s="8"/>
      <c r="F17" s="933"/>
      <c r="G17" s="934"/>
      <c r="H17" s="933"/>
      <c r="I17" s="934"/>
    </row>
    <row r="18" spans="1:9" ht="18.75" x14ac:dyDescent="0.3">
      <c r="A18" s="936" t="s">
        <v>15</v>
      </c>
      <c r="B18" s="936"/>
      <c r="C18" s="936"/>
      <c r="D18" s="936"/>
      <c r="E18" s="936"/>
      <c r="F18" s="936"/>
      <c r="G18" s="936"/>
      <c r="H18" s="936"/>
      <c r="I18" s="936"/>
    </row>
    <row r="19" spans="1:9" ht="18.75" x14ac:dyDescent="0.3">
      <c r="A19" s="1"/>
      <c r="B19" s="933"/>
      <c r="C19" s="935"/>
      <c r="D19" s="934"/>
      <c r="E19" s="8"/>
      <c r="F19" s="933"/>
      <c r="G19" s="934"/>
      <c r="H19" s="933"/>
      <c r="I19" s="934"/>
    </row>
    <row r="20" spans="1:9" ht="18.75" x14ac:dyDescent="0.3">
      <c r="A20" s="1"/>
      <c r="B20" s="933"/>
      <c r="C20" s="935"/>
      <c r="D20" s="934"/>
      <c r="E20" s="8"/>
      <c r="F20" s="933"/>
      <c r="G20" s="934"/>
      <c r="H20" s="933"/>
      <c r="I20" s="934"/>
    </row>
    <row r="21" spans="1:9" ht="18.75" x14ac:dyDescent="0.3">
      <c r="A21" s="1"/>
      <c r="B21" s="933"/>
      <c r="C21" s="935"/>
      <c r="D21" s="934"/>
      <c r="E21" s="8"/>
      <c r="F21" s="933"/>
      <c r="G21" s="934"/>
      <c r="H21" s="933"/>
      <c r="I21" s="934"/>
    </row>
    <row r="22" spans="1:9" ht="18.75" x14ac:dyDescent="0.3">
      <c r="A22" s="1"/>
      <c r="B22" s="933"/>
      <c r="C22" s="935"/>
      <c r="D22" s="934"/>
      <c r="E22" s="8"/>
      <c r="F22" s="933"/>
      <c r="G22" s="934"/>
      <c r="H22" s="933"/>
      <c r="I22" s="934"/>
    </row>
    <row r="23" spans="1:9" ht="18.75" x14ac:dyDescent="0.3">
      <c r="A23" s="1"/>
      <c r="B23" s="933"/>
      <c r="C23" s="935"/>
      <c r="D23" s="934"/>
      <c r="E23" s="8"/>
      <c r="F23" s="933"/>
      <c r="G23" s="934"/>
      <c r="H23" s="933"/>
      <c r="I23" s="934"/>
    </row>
    <row r="24" spans="1:9" ht="18.75" x14ac:dyDescent="0.3">
      <c r="A24" s="1"/>
      <c r="B24" s="933"/>
      <c r="C24" s="935"/>
      <c r="D24" s="934"/>
      <c r="E24" s="8"/>
      <c r="F24" s="933"/>
      <c r="G24" s="934"/>
      <c r="H24" s="933"/>
      <c r="I24" s="934"/>
    </row>
    <row r="25" spans="1:9" ht="18.75" customHeight="1" x14ac:dyDescent="0.3">
      <c r="A25" s="1"/>
      <c r="B25" s="933"/>
      <c r="C25" s="935"/>
      <c r="D25" s="934"/>
      <c r="E25" s="8"/>
      <c r="F25" s="933"/>
      <c r="G25" s="934"/>
      <c r="H25" s="933"/>
      <c r="I25" s="934"/>
    </row>
    <row r="26" spans="1:9" ht="18.75" x14ac:dyDescent="0.3">
      <c r="A26" s="936" t="s">
        <v>16</v>
      </c>
      <c r="B26" s="936"/>
      <c r="C26" s="936"/>
      <c r="D26" s="936"/>
      <c r="E26" s="936"/>
      <c r="F26" s="936"/>
      <c r="G26" s="936"/>
      <c r="H26" s="936"/>
      <c r="I26" s="936"/>
    </row>
    <row r="27" spans="1:9" ht="18.75" x14ac:dyDescent="0.3">
      <c r="A27" s="1"/>
      <c r="B27" s="933"/>
      <c r="C27" s="935"/>
      <c r="D27" s="934"/>
      <c r="E27" s="8"/>
      <c r="F27" s="933"/>
      <c r="G27" s="934"/>
      <c r="H27" s="933"/>
      <c r="I27" s="934"/>
    </row>
    <row r="28" spans="1:9" ht="18.75" x14ac:dyDescent="0.3">
      <c r="A28" s="1"/>
      <c r="B28" s="933"/>
      <c r="C28" s="935"/>
      <c r="D28" s="934"/>
      <c r="E28" s="8"/>
      <c r="F28" s="933"/>
      <c r="G28" s="934"/>
      <c r="H28" s="933"/>
      <c r="I28" s="934"/>
    </row>
    <row r="29" spans="1:9" ht="18.75" x14ac:dyDescent="0.3">
      <c r="A29" s="1"/>
      <c r="B29" s="933"/>
      <c r="C29" s="935"/>
      <c r="D29" s="934"/>
      <c r="E29" s="8"/>
      <c r="F29" s="933"/>
      <c r="G29" s="934"/>
      <c r="H29" s="933"/>
      <c r="I29" s="934"/>
    </row>
    <row r="30" spans="1:9" ht="18.75" x14ac:dyDescent="0.3">
      <c r="A30" s="1"/>
      <c r="B30" s="933"/>
      <c r="C30" s="935"/>
      <c r="D30" s="934"/>
      <c r="E30" s="8"/>
      <c r="F30" s="933"/>
      <c r="G30" s="934"/>
      <c r="H30" s="933"/>
      <c r="I30" s="934"/>
    </row>
    <row r="31" spans="1:9" ht="18.75" x14ac:dyDescent="0.3">
      <c r="A31" s="1"/>
      <c r="B31" s="933"/>
      <c r="C31" s="935"/>
      <c r="D31" s="934"/>
      <c r="E31" s="8"/>
      <c r="F31" s="933"/>
      <c r="G31" s="934"/>
      <c r="H31" s="933"/>
      <c r="I31" s="934"/>
    </row>
    <row r="32" spans="1:9" ht="18.75" x14ac:dyDescent="0.3">
      <c r="A32" s="1"/>
      <c r="B32" s="933"/>
      <c r="C32" s="935"/>
      <c r="D32" s="934"/>
      <c r="E32" s="8"/>
      <c r="F32" s="933"/>
      <c r="G32" s="934"/>
      <c r="H32" s="933"/>
      <c r="I32" s="934"/>
    </row>
    <row r="33" spans="1:9" ht="18.75" customHeight="1" x14ac:dyDescent="0.3">
      <c r="A33" s="1"/>
      <c r="B33" s="933"/>
      <c r="C33" s="935"/>
      <c r="D33" s="934"/>
      <c r="E33" s="8"/>
      <c r="F33" s="933"/>
      <c r="G33" s="934"/>
      <c r="H33" s="933"/>
      <c r="I33" s="934"/>
    </row>
    <row r="34" spans="1:9" ht="18.75" customHeight="1" x14ac:dyDescent="0.3">
      <c r="A34" s="940" t="s">
        <v>17</v>
      </c>
      <c r="B34" s="941"/>
      <c r="C34" s="941"/>
      <c r="D34" s="941"/>
      <c r="E34" s="941"/>
      <c r="F34" s="941"/>
      <c r="G34" s="941"/>
      <c r="H34" s="941"/>
      <c r="I34" s="941"/>
    </row>
    <row r="35" spans="1:9" ht="18.75" x14ac:dyDescent="0.3">
      <c r="A35" s="937" t="s">
        <v>19</v>
      </c>
      <c r="B35" s="938"/>
      <c r="C35" s="938"/>
      <c r="D35" s="938"/>
      <c r="E35" s="938"/>
      <c r="F35" s="938"/>
      <c r="G35" s="938"/>
      <c r="H35" s="938"/>
      <c r="I35" s="939"/>
    </row>
    <row r="36" spans="1:9" ht="18.75" x14ac:dyDescent="0.3">
      <c r="A36" s="1"/>
      <c r="B36" s="933"/>
      <c r="C36" s="935"/>
      <c r="D36" s="934"/>
      <c r="E36" s="8"/>
      <c r="F36" s="933"/>
      <c r="G36" s="934"/>
      <c r="H36" s="933"/>
      <c r="I36" s="934"/>
    </row>
    <row r="37" spans="1:9" ht="18.75" x14ac:dyDescent="0.3">
      <c r="A37" s="1"/>
      <c r="B37" s="933"/>
      <c r="C37" s="935"/>
      <c r="D37" s="934"/>
      <c r="E37" s="8"/>
      <c r="F37" s="933"/>
      <c r="G37" s="934"/>
      <c r="H37" s="933"/>
      <c r="I37" s="934"/>
    </row>
    <row r="38" spans="1:9" ht="18.75" x14ac:dyDescent="0.3">
      <c r="A38" s="1"/>
      <c r="B38" s="933"/>
      <c r="C38" s="935"/>
      <c r="D38" s="934"/>
      <c r="E38" s="8"/>
      <c r="F38" s="933"/>
      <c r="G38" s="934"/>
      <c r="H38" s="933"/>
      <c r="I38" s="934"/>
    </row>
    <row r="39" spans="1:9" ht="18.75" x14ac:dyDescent="0.3">
      <c r="A39" s="1"/>
      <c r="B39" s="933"/>
      <c r="C39" s="935"/>
      <c r="D39" s="934"/>
      <c r="E39" s="8"/>
      <c r="F39" s="933"/>
      <c r="G39" s="934"/>
      <c r="H39" s="933"/>
      <c r="I39" s="934"/>
    </row>
    <row r="40" spans="1:9" ht="18.75" x14ac:dyDescent="0.3">
      <c r="A40" s="1"/>
      <c r="B40" s="933"/>
      <c r="C40" s="935"/>
      <c r="D40" s="934"/>
      <c r="E40" s="8"/>
      <c r="F40" s="933"/>
      <c r="G40" s="934"/>
      <c r="H40" s="933"/>
      <c r="I40" s="934"/>
    </row>
    <row r="41" spans="1:9" ht="18.75" x14ac:dyDescent="0.3">
      <c r="A41" s="1"/>
      <c r="B41" s="933"/>
      <c r="C41" s="935"/>
      <c r="D41" s="934"/>
      <c r="E41" s="8"/>
      <c r="F41" s="933"/>
      <c r="G41" s="934"/>
      <c r="H41" s="933"/>
      <c r="I41" s="934"/>
    </row>
    <row r="42" spans="1:9" ht="18.75" x14ac:dyDescent="0.3">
      <c r="A42" s="1"/>
      <c r="B42" s="933"/>
      <c r="C42" s="935"/>
      <c r="D42" s="934"/>
      <c r="E42" s="8"/>
      <c r="F42" s="933"/>
      <c r="G42" s="934"/>
      <c r="H42" s="933"/>
      <c r="I42" s="934"/>
    </row>
    <row r="43" spans="1:9" ht="18.75" x14ac:dyDescent="0.3">
      <c r="A43" s="937" t="s">
        <v>20</v>
      </c>
      <c r="B43" s="938"/>
      <c r="C43" s="938"/>
      <c r="D43" s="938"/>
      <c r="E43" s="938"/>
      <c r="F43" s="938"/>
      <c r="G43" s="938"/>
      <c r="H43" s="938"/>
      <c r="I43" s="939"/>
    </row>
    <row r="44" spans="1:9" ht="18.75" x14ac:dyDescent="0.3">
      <c r="A44" s="1"/>
      <c r="B44" s="933"/>
      <c r="C44" s="935"/>
      <c r="D44" s="934"/>
      <c r="E44" s="8"/>
      <c r="F44" s="933"/>
      <c r="G44" s="934"/>
      <c r="H44" s="933"/>
      <c r="I44" s="934"/>
    </row>
    <row r="45" spans="1:9" ht="18.75" x14ac:dyDescent="0.3">
      <c r="A45" s="1"/>
      <c r="B45" s="933"/>
      <c r="C45" s="935"/>
      <c r="D45" s="934"/>
      <c r="E45" s="8"/>
      <c r="F45" s="933"/>
      <c r="G45" s="934"/>
      <c r="H45" s="933"/>
      <c r="I45" s="934"/>
    </row>
    <row r="46" spans="1:9" ht="18.75" x14ac:dyDescent="0.3">
      <c r="A46" s="1"/>
      <c r="B46" s="933"/>
      <c r="C46" s="935"/>
      <c r="D46" s="934"/>
      <c r="E46" s="8"/>
      <c r="F46" s="933"/>
      <c r="G46" s="934"/>
      <c r="H46" s="933"/>
      <c r="I46" s="934"/>
    </row>
    <row r="47" spans="1:9" ht="18.75" x14ac:dyDescent="0.3">
      <c r="A47" s="1"/>
      <c r="B47" s="933"/>
      <c r="C47" s="935"/>
      <c r="D47" s="934"/>
      <c r="E47" s="8"/>
      <c r="F47" s="933"/>
      <c r="G47" s="934"/>
      <c r="H47" s="933"/>
      <c r="I47" s="934"/>
    </row>
    <row r="48" spans="1:9" ht="18.75" x14ac:dyDescent="0.3">
      <c r="A48" s="1"/>
      <c r="B48" s="933"/>
      <c r="C48" s="935"/>
      <c r="D48" s="934"/>
      <c r="E48" s="8"/>
      <c r="F48" s="933"/>
      <c r="G48" s="934"/>
      <c r="H48" s="933"/>
      <c r="I48" s="934"/>
    </row>
    <row r="49" spans="1:9" ht="18.75" x14ac:dyDescent="0.3">
      <c r="A49" s="1"/>
      <c r="B49" s="933"/>
      <c r="C49" s="935"/>
      <c r="D49" s="934"/>
      <c r="E49" s="8"/>
      <c r="F49" s="933"/>
      <c r="G49" s="934"/>
      <c r="H49" s="933"/>
      <c r="I49" s="934"/>
    </row>
    <row r="50" spans="1:9" ht="18.75" x14ac:dyDescent="0.3">
      <c r="A50" s="1"/>
      <c r="B50" s="933"/>
      <c r="C50" s="935"/>
      <c r="D50" s="934"/>
      <c r="E50" s="8"/>
      <c r="F50" s="933"/>
      <c r="G50" s="934"/>
      <c r="H50" s="933"/>
      <c r="I50" s="934"/>
    </row>
    <row r="51" spans="1:9" ht="18.75" x14ac:dyDescent="0.3">
      <c r="A51" s="924" t="s">
        <v>21</v>
      </c>
      <c r="B51" s="936"/>
      <c r="C51" s="936"/>
      <c r="D51" s="936"/>
      <c r="E51" s="936"/>
      <c r="F51" s="936"/>
      <c r="G51" s="936"/>
      <c r="H51" s="936"/>
      <c r="I51" s="936"/>
    </row>
    <row r="52" spans="1:9" ht="18.75" x14ac:dyDescent="0.3">
      <c r="A52" s="1"/>
      <c r="B52" s="933"/>
      <c r="C52" s="935"/>
      <c r="D52" s="934"/>
      <c r="E52" s="8"/>
      <c r="F52" s="933"/>
      <c r="G52" s="934"/>
      <c r="H52" s="933"/>
      <c r="I52" s="934"/>
    </row>
    <row r="53" spans="1:9" ht="18.75" x14ac:dyDescent="0.3">
      <c r="A53" s="1"/>
      <c r="B53" s="933"/>
      <c r="C53" s="935"/>
      <c r="D53" s="934"/>
      <c r="E53" s="8"/>
      <c r="F53" s="933"/>
      <c r="G53" s="934"/>
      <c r="H53" s="933"/>
      <c r="I53" s="934"/>
    </row>
    <row r="54" spans="1:9" ht="18.75" x14ac:dyDescent="0.3">
      <c r="A54" s="1"/>
      <c r="B54" s="933"/>
      <c r="C54" s="935"/>
      <c r="D54" s="934"/>
      <c r="E54" s="8"/>
      <c r="F54" s="933"/>
      <c r="G54" s="934"/>
      <c r="H54" s="933"/>
      <c r="I54" s="934"/>
    </row>
    <row r="55" spans="1:9" ht="18.75" x14ac:dyDescent="0.3">
      <c r="A55" s="1"/>
      <c r="B55" s="933"/>
      <c r="C55" s="935"/>
      <c r="D55" s="934"/>
      <c r="E55" s="8"/>
      <c r="F55" s="933"/>
      <c r="G55" s="934"/>
      <c r="H55" s="933"/>
      <c r="I55" s="934"/>
    </row>
    <row r="56" spans="1:9" ht="18.75" x14ac:dyDescent="0.3">
      <c r="A56" s="1"/>
      <c r="B56" s="933"/>
      <c r="C56" s="935"/>
      <c r="D56" s="934"/>
      <c r="E56" s="8"/>
      <c r="F56" s="933"/>
      <c r="G56" s="934"/>
      <c r="H56" s="933"/>
      <c r="I56" s="934"/>
    </row>
    <row r="57" spans="1:9" ht="18.75" x14ac:dyDescent="0.3">
      <c r="A57" s="1"/>
      <c r="B57" s="933"/>
      <c r="C57" s="935"/>
      <c r="D57" s="934"/>
      <c r="E57" s="8"/>
      <c r="F57" s="933"/>
      <c r="G57" s="934"/>
      <c r="H57" s="933"/>
      <c r="I57" s="934"/>
    </row>
    <row r="58" spans="1:9" ht="18.75" x14ac:dyDescent="0.3">
      <c r="A58" s="1"/>
      <c r="B58" s="933"/>
      <c r="C58" s="935"/>
      <c r="D58" s="934"/>
      <c r="E58" s="8"/>
      <c r="F58" s="933"/>
      <c r="G58" s="934"/>
      <c r="H58" s="933"/>
      <c r="I58" s="934"/>
    </row>
    <row r="59" spans="1:9" ht="18.75" x14ac:dyDescent="0.3">
      <c r="A59" s="936" t="s">
        <v>22</v>
      </c>
      <c r="B59" s="936"/>
      <c r="C59" s="936"/>
      <c r="D59" s="936"/>
      <c r="E59" s="936"/>
      <c r="F59" s="936"/>
      <c r="G59" s="936"/>
      <c r="H59" s="936"/>
      <c r="I59" s="936"/>
    </row>
    <row r="60" spans="1:9" ht="18.75" x14ac:dyDescent="0.3">
      <c r="A60" s="1"/>
      <c r="B60" s="933"/>
      <c r="C60" s="935"/>
      <c r="D60" s="934"/>
      <c r="E60" s="8"/>
      <c r="F60" s="933"/>
      <c r="G60" s="934"/>
      <c r="H60" s="933"/>
      <c r="I60" s="934"/>
    </row>
    <row r="61" spans="1:9" ht="18.75" x14ac:dyDescent="0.3">
      <c r="A61" s="1"/>
      <c r="B61" s="933"/>
      <c r="C61" s="935"/>
      <c r="D61" s="934"/>
      <c r="E61" s="8"/>
      <c r="F61" s="933"/>
      <c r="G61" s="934"/>
      <c r="H61" s="933"/>
      <c r="I61" s="934"/>
    </row>
    <row r="62" spans="1:9" ht="18.75" x14ac:dyDescent="0.3">
      <c r="A62" s="1"/>
      <c r="B62" s="933"/>
      <c r="C62" s="935"/>
      <c r="D62" s="934"/>
      <c r="E62" s="8"/>
      <c r="F62" s="933"/>
      <c r="G62" s="934"/>
      <c r="H62" s="933"/>
      <c r="I62" s="934"/>
    </row>
    <row r="63" spans="1:9" ht="18.75" x14ac:dyDescent="0.3">
      <c r="A63" s="1"/>
      <c r="B63" s="933"/>
      <c r="C63" s="935"/>
      <c r="D63" s="934"/>
      <c r="E63" s="8"/>
      <c r="F63" s="933"/>
      <c r="G63" s="934"/>
      <c r="H63" s="933"/>
      <c r="I63" s="934"/>
    </row>
    <row r="64" spans="1:9" ht="18.75" x14ac:dyDescent="0.3">
      <c r="A64" s="1"/>
      <c r="B64" s="933"/>
      <c r="C64" s="935"/>
      <c r="D64" s="934"/>
      <c r="E64" s="8"/>
      <c r="F64" s="933"/>
      <c r="G64" s="934"/>
      <c r="H64" s="933"/>
      <c r="I64" s="934"/>
    </row>
    <row r="65" spans="1:9" ht="18.75" x14ac:dyDescent="0.3">
      <c r="A65" s="1"/>
      <c r="B65" s="933"/>
      <c r="C65" s="935"/>
      <c r="D65" s="934"/>
      <c r="E65" s="8"/>
      <c r="F65" s="933"/>
      <c r="G65" s="934"/>
      <c r="H65" s="933"/>
      <c r="I65" s="934"/>
    </row>
    <row r="66" spans="1:9" ht="18.75" x14ac:dyDescent="0.3">
      <c r="A66" s="1"/>
      <c r="B66" s="933"/>
      <c r="C66" s="935"/>
      <c r="D66" s="934"/>
      <c r="E66" s="8"/>
      <c r="F66" s="933"/>
      <c r="G66" s="934"/>
      <c r="H66" s="933"/>
      <c r="I66" s="934"/>
    </row>
    <row r="67" spans="1:9" ht="18.75" x14ac:dyDescent="0.3">
      <c r="A67" s="936" t="s">
        <v>23</v>
      </c>
      <c r="B67" s="936"/>
      <c r="C67" s="936"/>
      <c r="D67" s="936"/>
      <c r="E67" s="936"/>
      <c r="F67" s="936"/>
      <c r="G67" s="936"/>
      <c r="H67" s="936"/>
      <c r="I67" s="936"/>
    </row>
    <row r="68" spans="1:9" ht="18.75" x14ac:dyDescent="0.3">
      <c r="A68" s="1"/>
      <c r="B68" s="933"/>
      <c r="C68" s="935"/>
      <c r="D68" s="934"/>
      <c r="E68" s="8"/>
      <c r="F68" s="933"/>
      <c r="G68" s="934"/>
      <c r="H68" s="933"/>
      <c r="I68" s="934"/>
    </row>
    <row r="69" spans="1:9" ht="18.75" x14ac:dyDescent="0.3">
      <c r="A69" s="1"/>
      <c r="B69" s="933"/>
      <c r="C69" s="935"/>
      <c r="D69" s="934"/>
      <c r="E69" s="8"/>
      <c r="F69" s="933"/>
      <c r="G69" s="934"/>
      <c r="H69" s="933"/>
      <c r="I69" s="934"/>
    </row>
    <row r="70" spans="1:9" ht="18.75" x14ac:dyDescent="0.3">
      <c r="A70" s="1"/>
      <c r="B70" s="933"/>
      <c r="C70" s="935"/>
      <c r="D70" s="934"/>
      <c r="E70" s="8"/>
      <c r="F70" s="933"/>
      <c r="G70" s="934"/>
      <c r="H70" s="933"/>
      <c r="I70" s="934"/>
    </row>
    <row r="71" spans="1:9" ht="18.75" x14ac:dyDescent="0.3">
      <c r="A71" s="1"/>
      <c r="B71" s="933"/>
      <c r="C71" s="935"/>
      <c r="D71" s="934"/>
      <c r="E71" s="8"/>
      <c r="F71" s="933"/>
      <c r="G71" s="934"/>
      <c r="H71" s="933"/>
      <c r="I71" s="934"/>
    </row>
    <row r="72" spans="1:9" ht="18.75" x14ac:dyDescent="0.3">
      <c r="A72" s="1"/>
      <c r="B72" s="933"/>
      <c r="C72" s="935"/>
      <c r="D72" s="934"/>
      <c r="E72" s="8"/>
      <c r="F72" s="933"/>
      <c r="G72" s="934"/>
      <c r="H72" s="933"/>
      <c r="I72" s="934"/>
    </row>
    <row r="73" spans="1:9" ht="18.75" x14ac:dyDescent="0.3">
      <c r="A73" s="1"/>
      <c r="B73" s="933"/>
      <c r="C73" s="935"/>
      <c r="D73" s="934"/>
      <c r="E73" s="8"/>
      <c r="F73" s="933"/>
      <c r="G73" s="934"/>
      <c r="H73" s="933"/>
      <c r="I73" s="934"/>
    </row>
    <row r="74" spans="1:9" ht="18.75" x14ac:dyDescent="0.3">
      <c r="A74" s="1"/>
      <c r="B74" s="933"/>
      <c r="C74" s="935"/>
      <c r="D74" s="934"/>
      <c r="E74" s="8"/>
      <c r="F74" s="933"/>
      <c r="G74" s="934"/>
      <c r="H74" s="933"/>
      <c r="I74" s="934"/>
    </row>
  </sheetData>
  <mergeCells count="182">
    <mergeCell ref="H72:I72"/>
    <mergeCell ref="H73:I73"/>
    <mergeCell ref="H74:I74"/>
    <mergeCell ref="B72:D72"/>
    <mergeCell ref="B73:D73"/>
    <mergeCell ref="B74:D74"/>
    <mergeCell ref="F68:G68"/>
    <mergeCell ref="F69:G69"/>
    <mergeCell ref="F70:G70"/>
    <mergeCell ref="F71:G71"/>
    <mergeCell ref="F72:G72"/>
    <mergeCell ref="F73:G73"/>
    <mergeCell ref="F74:G74"/>
    <mergeCell ref="B68:D68"/>
    <mergeCell ref="B69:D69"/>
    <mergeCell ref="B70:D70"/>
    <mergeCell ref="B71:D71"/>
    <mergeCell ref="H68:I68"/>
    <mergeCell ref="H69:I69"/>
    <mergeCell ref="H70:I70"/>
    <mergeCell ref="H71:I71"/>
    <mergeCell ref="F61:G61"/>
    <mergeCell ref="B65:D65"/>
    <mergeCell ref="B66:D66"/>
    <mergeCell ref="F63:G63"/>
    <mergeCell ref="F64:G64"/>
    <mergeCell ref="F65:G65"/>
    <mergeCell ref="F66:G66"/>
    <mergeCell ref="H56:I56"/>
    <mergeCell ref="H57:I57"/>
    <mergeCell ref="H58:I58"/>
    <mergeCell ref="H65:I65"/>
    <mergeCell ref="H66:I66"/>
    <mergeCell ref="B61:D61"/>
    <mergeCell ref="B62:D62"/>
    <mergeCell ref="H60:I60"/>
    <mergeCell ref="H61:I61"/>
    <mergeCell ref="H62:I62"/>
    <mergeCell ref="B58:D58"/>
    <mergeCell ref="F62:G62"/>
    <mergeCell ref="B53:D53"/>
    <mergeCell ref="B54:D54"/>
    <mergeCell ref="H52:I52"/>
    <mergeCell ref="H53:I53"/>
    <mergeCell ref="H54:I54"/>
    <mergeCell ref="B48:D48"/>
    <mergeCell ref="B49:D49"/>
    <mergeCell ref="B50:D50"/>
    <mergeCell ref="B60:D60"/>
    <mergeCell ref="F48:G48"/>
    <mergeCell ref="F49:G49"/>
    <mergeCell ref="F50:G50"/>
    <mergeCell ref="F52:G52"/>
    <mergeCell ref="F53:G53"/>
    <mergeCell ref="F54:G54"/>
    <mergeCell ref="F55:G55"/>
    <mergeCell ref="F56:G56"/>
    <mergeCell ref="F57:G57"/>
    <mergeCell ref="F58:G58"/>
    <mergeCell ref="F60:G60"/>
    <mergeCell ref="H48:I48"/>
    <mergeCell ref="H49:I49"/>
    <mergeCell ref="H50:I50"/>
    <mergeCell ref="B52:D52"/>
    <mergeCell ref="B46:D46"/>
    <mergeCell ref="B47:D47"/>
    <mergeCell ref="H44:I44"/>
    <mergeCell ref="H45:I45"/>
    <mergeCell ref="H46:I46"/>
    <mergeCell ref="H47:I47"/>
    <mergeCell ref="F44:G44"/>
    <mergeCell ref="F45:G45"/>
    <mergeCell ref="F46:G46"/>
    <mergeCell ref="F47:G47"/>
    <mergeCell ref="F39:G39"/>
    <mergeCell ref="F40:G40"/>
    <mergeCell ref="F41:G41"/>
    <mergeCell ref="F42:G42"/>
    <mergeCell ref="H31:I31"/>
    <mergeCell ref="H32:I32"/>
    <mergeCell ref="H33:I33"/>
    <mergeCell ref="B44:D44"/>
    <mergeCell ref="B45:D45"/>
    <mergeCell ref="B36:D36"/>
    <mergeCell ref="B37:D37"/>
    <mergeCell ref="B38:D38"/>
    <mergeCell ref="H36:I36"/>
    <mergeCell ref="H37:I37"/>
    <mergeCell ref="H38:I38"/>
    <mergeCell ref="B33:D33"/>
    <mergeCell ref="F36:G36"/>
    <mergeCell ref="F37:G37"/>
    <mergeCell ref="F38:G38"/>
    <mergeCell ref="H41:I41"/>
    <mergeCell ref="H42:I42"/>
    <mergeCell ref="B41:D41"/>
    <mergeCell ref="B42:D42"/>
    <mergeCell ref="F27:G27"/>
    <mergeCell ref="F28:G28"/>
    <mergeCell ref="F29:G29"/>
    <mergeCell ref="F30:G30"/>
    <mergeCell ref="F31:G31"/>
    <mergeCell ref="F32:G32"/>
    <mergeCell ref="F33:G33"/>
    <mergeCell ref="H29:I29"/>
    <mergeCell ref="H30:I30"/>
    <mergeCell ref="H22:I22"/>
    <mergeCell ref="H23:I23"/>
    <mergeCell ref="H24:I24"/>
    <mergeCell ref="H25:I25"/>
    <mergeCell ref="B27:D27"/>
    <mergeCell ref="B28:D28"/>
    <mergeCell ref="H27:I27"/>
    <mergeCell ref="H28:I28"/>
    <mergeCell ref="B19:D19"/>
    <mergeCell ref="B20:D20"/>
    <mergeCell ref="B21:D21"/>
    <mergeCell ref="B22:D22"/>
    <mergeCell ref="B23:D23"/>
    <mergeCell ref="B24:D24"/>
    <mergeCell ref="B25:D25"/>
    <mergeCell ref="F19:G19"/>
    <mergeCell ref="A26:I26"/>
    <mergeCell ref="F24:G24"/>
    <mergeCell ref="F25:G25"/>
    <mergeCell ref="F21:G21"/>
    <mergeCell ref="F22:G22"/>
    <mergeCell ref="F23:G23"/>
    <mergeCell ref="H21:I21"/>
    <mergeCell ref="F20:G20"/>
    <mergeCell ref="A13:I13"/>
    <mergeCell ref="A18:I18"/>
    <mergeCell ref="A67:I67"/>
    <mergeCell ref="B63:D63"/>
    <mergeCell ref="B64:D64"/>
    <mergeCell ref="H63:I63"/>
    <mergeCell ref="H64:I64"/>
    <mergeCell ref="A59:I59"/>
    <mergeCell ref="B55:D55"/>
    <mergeCell ref="B56:D56"/>
    <mergeCell ref="B57:D57"/>
    <mergeCell ref="H55:I55"/>
    <mergeCell ref="A51:I51"/>
    <mergeCell ref="A43:I43"/>
    <mergeCell ref="B39:D39"/>
    <mergeCell ref="B40:D40"/>
    <mergeCell ref="H39:I39"/>
    <mergeCell ref="H40:I40"/>
    <mergeCell ref="A35:I35"/>
    <mergeCell ref="A34:I34"/>
    <mergeCell ref="B31:D31"/>
    <mergeCell ref="B32:D32"/>
    <mergeCell ref="B29:D29"/>
    <mergeCell ref="B30:D30"/>
    <mergeCell ref="H19:I19"/>
    <mergeCell ref="H20:I20"/>
    <mergeCell ref="B16:D16"/>
    <mergeCell ref="H16:I16"/>
    <mergeCell ref="B17:D17"/>
    <mergeCell ref="H17:I17"/>
    <mergeCell ref="F16:G16"/>
    <mergeCell ref="F17:G17"/>
    <mergeCell ref="B14:D14"/>
    <mergeCell ref="H14:I14"/>
    <mergeCell ref="B15:D15"/>
    <mergeCell ref="H15:I15"/>
    <mergeCell ref="F14:G14"/>
    <mergeCell ref="F15:G15"/>
    <mergeCell ref="A12:I12"/>
    <mergeCell ref="B10:D10"/>
    <mergeCell ref="H10:I10"/>
    <mergeCell ref="B11:D11"/>
    <mergeCell ref="H11:I11"/>
    <mergeCell ref="F10:G10"/>
    <mergeCell ref="F11:G11"/>
    <mergeCell ref="F1:I1"/>
    <mergeCell ref="A4:I4"/>
    <mergeCell ref="A5:I5"/>
    <mergeCell ref="A6:I6"/>
    <mergeCell ref="A7:I7"/>
    <mergeCell ref="A8:I8"/>
    <mergeCell ref="F2:I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7"/>
  <sheetViews>
    <sheetView workbookViewId="0">
      <selection activeCell="G10" sqref="G10"/>
    </sheetView>
  </sheetViews>
  <sheetFormatPr defaultRowHeight="15" x14ac:dyDescent="0.25"/>
  <cols>
    <col min="1" max="1" width="3.28515625" customWidth="1"/>
    <col min="2" max="2" width="25.7109375" customWidth="1"/>
    <col min="3" max="3" width="8.140625" customWidth="1"/>
    <col min="4" max="4" width="8.5703125" style="714" customWidth="1"/>
    <col min="5" max="5" width="9" customWidth="1"/>
    <col min="6" max="6" width="12.28515625" customWidth="1"/>
    <col min="7" max="7" width="13.5703125" customWidth="1"/>
    <col min="8" max="8" width="7.7109375" customWidth="1"/>
    <col min="9" max="9" width="11.85546875" style="714" customWidth="1"/>
    <col min="10" max="10" width="12.42578125" customWidth="1"/>
    <col min="11" max="11" width="12" customWidth="1"/>
    <col min="12" max="12" width="14.28515625" customWidth="1"/>
    <col min="13" max="13" width="9" customWidth="1"/>
    <col min="14" max="14" width="9.7109375" style="714" customWidth="1"/>
    <col min="15" max="15" width="9.7109375" customWidth="1"/>
    <col min="16" max="16" width="10.85546875" customWidth="1"/>
    <col min="17" max="17" width="11.28515625" customWidth="1"/>
    <col min="18" max="18" width="11.5703125" hidden="1" customWidth="1"/>
    <col min="19" max="19" width="11.5703125" style="714" hidden="1" customWidth="1"/>
    <col min="20" max="22" width="11.5703125" hidden="1" customWidth="1"/>
    <col min="23" max="26" width="11.5703125" customWidth="1"/>
  </cols>
  <sheetData>
    <row r="1" spans="1:26" ht="30.75" customHeight="1" x14ac:dyDescent="0.25">
      <c r="A1" s="946" t="s">
        <v>224</v>
      </c>
      <c r="B1" s="946"/>
      <c r="C1" s="946"/>
      <c r="D1" s="946"/>
      <c r="E1" s="946"/>
      <c r="F1" s="946"/>
      <c r="G1" s="946"/>
      <c r="H1" s="946"/>
      <c r="I1" s="946"/>
      <c r="J1" s="946"/>
      <c r="K1" s="946"/>
      <c r="L1" s="946"/>
      <c r="M1" s="946"/>
      <c r="N1" s="946"/>
      <c r="O1" s="946"/>
      <c r="P1" s="946"/>
      <c r="Q1" s="946"/>
      <c r="R1" s="946"/>
      <c r="S1" s="946"/>
      <c r="T1" s="946"/>
      <c r="U1" s="946"/>
      <c r="V1" s="946"/>
    </row>
    <row r="2" spans="1:26" ht="101.25" customHeight="1" x14ac:dyDescent="0.25">
      <c r="A2" s="833" t="s">
        <v>35</v>
      </c>
      <c r="B2" s="947" t="s">
        <v>36</v>
      </c>
      <c r="C2" s="947" t="s">
        <v>225</v>
      </c>
      <c r="D2" s="949" t="s">
        <v>270</v>
      </c>
      <c r="E2" s="949"/>
      <c r="F2" s="949"/>
      <c r="G2" s="949"/>
      <c r="H2" s="947" t="s">
        <v>225</v>
      </c>
      <c r="I2" s="950" t="s">
        <v>271</v>
      </c>
      <c r="J2" s="951"/>
      <c r="K2" s="951"/>
      <c r="L2" s="952"/>
      <c r="M2" s="947" t="s">
        <v>225</v>
      </c>
      <c r="N2" s="950" t="s">
        <v>273</v>
      </c>
      <c r="O2" s="951"/>
      <c r="P2" s="951"/>
      <c r="Q2" s="952"/>
      <c r="R2" s="947" t="s">
        <v>225</v>
      </c>
      <c r="S2" s="950" t="s">
        <v>272</v>
      </c>
      <c r="T2" s="951"/>
      <c r="U2" s="951"/>
      <c r="V2" s="952"/>
    </row>
    <row r="3" spans="1:26" ht="81.75" customHeight="1" x14ac:dyDescent="0.25">
      <c r="A3" s="834"/>
      <c r="B3" s="948"/>
      <c r="C3" s="948"/>
      <c r="D3" s="708" t="s">
        <v>226</v>
      </c>
      <c r="E3" s="523" t="s">
        <v>227</v>
      </c>
      <c r="F3" s="523" t="s">
        <v>228</v>
      </c>
      <c r="G3" s="523" t="s">
        <v>63</v>
      </c>
      <c r="H3" s="948"/>
      <c r="I3" s="708" t="s">
        <v>226</v>
      </c>
      <c r="J3" s="523" t="s">
        <v>227</v>
      </c>
      <c r="K3" s="523" t="s">
        <v>228</v>
      </c>
      <c r="L3" s="523" t="s">
        <v>63</v>
      </c>
      <c r="M3" s="948"/>
      <c r="N3" s="708" t="s">
        <v>226</v>
      </c>
      <c r="O3" s="523" t="s">
        <v>227</v>
      </c>
      <c r="P3" s="523" t="s">
        <v>229</v>
      </c>
      <c r="Q3" s="523" t="s">
        <v>63</v>
      </c>
      <c r="R3" s="948"/>
      <c r="S3" s="708" t="s">
        <v>226</v>
      </c>
      <c r="T3" s="523" t="s">
        <v>227</v>
      </c>
      <c r="U3" s="523" t="s">
        <v>229</v>
      </c>
      <c r="V3" s="523" t="s">
        <v>63</v>
      </c>
    </row>
    <row r="4" spans="1:26" ht="15.75" customHeight="1" x14ac:dyDescent="0.25">
      <c r="A4" s="524" t="s">
        <v>230</v>
      </c>
      <c r="B4" s="525" t="s">
        <v>231</v>
      </c>
      <c r="C4" s="942">
        <v>10500</v>
      </c>
      <c r="D4" s="822">
        <f>E4/C4</f>
        <v>4.6857142857142854E-2</v>
      </c>
      <c r="E4" s="526">
        <v>492</v>
      </c>
      <c r="F4" s="526">
        <f>G4/C4</f>
        <v>9.3714285714285719</v>
      </c>
      <c r="G4" s="526">
        <f>E4*200</f>
        <v>98400</v>
      </c>
      <c r="H4" s="945">
        <v>300</v>
      </c>
      <c r="I4" s="709">
        <f>J4/H4</f>
        <v>1.64</v>
      </c>
      <c r="J4" s="527">
        <v>492</v>
      </c>
      <c r="K4" s="528">
        <f>L4/H4</f>
        <v>328</v>
      </c>
      <c r="L4" s="528">
        <f>J4*200</f>
        <v>98400</v>
      </c>
      <c r="M4" s="945">
        <v>30</v>
      </c>
      <c r="N4" s="709"/>
      <c r="O4" s="527"/>
      <c r="P4" s="528"/>
      <c r="Q4" s="528"/>
      <c r="R4" s="945">
        <v>640</v>
      </c>
      <c r="S4" s="709"/>
      <c r="T4" s="527"/>
      <c r="U4" s="528"/>
      <c r="V4" s="528"/>
      <c r="W4" s="529"/>
      <c r="Y4" s="30"/>
      <c r="Z4" s="30"/>
    </row>
    <row r="5" spans="1:26" ht="52.5" customHeight="1" x14ac:dyDescent="0.25">
      <c r="A5" s="530" t="s">
        <v>232</v>
      </c>
      <c r="B5" s="531" t="s">
        <v>233</v>
      </c>
      <c r="C5" s="943"/>
      <c r="D5" s="710">
        <f>E5/C4</f>
        <v>9.3714285714285708E-2</v>
      </c>
      <c r="E5" s="528">
        <v>984</v>
      </c>
      <c r="F5" s="526">
        <f>G5/C4</f>
        <v>18.742857142857144</v>
      </c>
      <c r="G5" s="526">
        <f t="shared" ref="G5:G8" si="0">E5*200</f>
        <v>196800</v>
      </c>
      <c r="H5" s="945"/>
      <c r="I5" s="715"/>
      <c r="J5" s="527"/>
      <c r="K5" s="528"/>
      <c r="L5" s="528"/>
      <c r="M5" s="945"/>
      <c r="N5" s="715">
        <f>O5/M4</f>
        <v>32.799999999999997</v>
      </c>
      <c r="O5" s="527">
        <v>984</v>
      </c>
      <c r="P5" s="528">
        <f>Q5/M4</f>
        <v>6560</v>
      </c>
      <c r="Q5" s="528">
        <f>O5*200</f>
        <v>196800</v>
      </c>
      <c r="R5" s="945"/>
      <c r="S5" s="715"/>
      <c r="T5" s="527"/>
      <c r="U5" s="528"/>
      <c r="V5" s="528"/>
      <c r="W5" s="529"/>
      <c r="Y5" s="30"/>
      <c r="Z5" s="30"/>
    </row>
    <row r="6" spans="1:26" ht="15.75" customHeight="1" x14ac:dyDescent="0.25">
      <c r="A6" s="530" t="s">
        <v>234</v>
      </c>
      <c r="B6" s="532" t="s">
        <v>235</v>
      </c>
      <c r="C6" s="943"/>
      <c r="D6" s="710">
        <f>E6/C4</f>
        <v>4.6857142857142854E-2</v>
      </c>
      <c r="E6" s="528">
        <v>492</v>
      </c>
      <c r="F6" s="526">
        <f>G6/C4</f>
        <v>9.3714285714285719</v>
      </c>
      <c r="G6" s="526">
        <f t="shared" si="0"/>
        <v>98400</v>
      </c>
      <c r="H6" s="945"/>
      <c r="I6" s="715">
        <f>J6/H4</f>
        <v>1.64</v>
      </c>
      <c r="J6" s="527">
        <v>492</v>
      </c>
      <c r="K6" s="528">
        <f>L6/H4</f>
        <v>328</v>
      </c>
      <c r="L6" s="528">
        <f>J6*200</f>
        <v>98400</v>
      </c>
      <c r="M6" s="945"/>
      <c r="N6" s="715"/>
      <c r="O6" s="527"/>
      <c r="P6" s="528"/>
      <c r="Q6" s="528"/>
      <c r="R6" s="945"/>
      <c r="S6" s="715"/>
      <c r="T6" s="527"/>
      <c r="U6" s="528"/>
      <c r="V6" s="528"/>
      <c r="W6" s="529"/>
      <c r="Y6" s="30"/>
      <c r="Z6" s="30"/>
    </row>
    <row r="7" spans="1:26" s="51" customFormat="1" ht="16.5" customHeight="1" x14ac:dyDescent="0.25">
      <c r="A7" s="530" t="s">
        <v>236</v>
      </c>
      <c r="B7" s="532" t="s">
        <v>237</v>
      </c>
      <c r="C7" s="943"/>
      <c r="D7" s="710">
        <f>E7/C4</f>
        <v>0.46857142857142858</v>
      </c>
      <c r="E7" s="528">
        <v>4920</v>
      </c>
      <c r="F7" s="526">
        <f>G7/C4</f>
        <v>93.714285714285708</v>
      </c>
      <c r="G7" s="526">
        <f t="shared" si="0"/>
        <v>984000</v>
      </c>
      <c r="H7" s="945"/>
      <c r="I7" s="716"/>
      <c r="J7" s="527"/>
      <c r="K7" s="528"/>
      <c r="L7" s="528"/>
      <c r="M7" s="945"/>
      <c r="N7" s="716"/>
      <c r="O7" s="527"/>
      <c r="P7" s="528"/>
      <c r="Q7" s="528"/>
      <c r="R7" s="945"/>
      <c r="S7" s="716"/>
      <c r="T7" s="527"/>
      <c r="U7" s="528"/>
      <c r="V7" s="528"/>
      <c r="W7" s="534"/>
      <c r="Y7" s="69"/>
      <c r="Z7" s="69"/>
    </row>
    <row r="8" spans="1:26" s="51" customFormat="1" ht="21" customHeight="1" x14ac:dyDescent="0.25">
      <c r="A8" s="530" t="s">
        <v>238</v>
      </c>
      <c r="B8" s="532" t="s">
        <v>239</v>
      </c>
      <c r="C8" s="943"/>
      <c r="D8" s="710">
        <f>E8/C4</f>
        <v>0.34628571428571431</v>
      </c>
      <c r="E8" s="528">
        <v>3636</v>
      </c>
      <c r="F8" s="526">
        <f>G8/C4</f>
        <v>69.257142857142853</v>
      </c>
      <c r="G8" s="526">
        <f t="shared" si="0"/>
        <v>727200</v>
      </c>
      <c r="H8" s="945"/>
      <c r="I8" s="716"/>
      <c r="J8" s="527"/>
      <c r="K8" s="528"/>
      <c r="L8" s="528"/>
      <c r="M8" s="945"/>
      <c r="N8" s="716"/>
      <c r="O8" s="527"/>
      <c r="P8" s="528"/>
      <c r="Q8" s="528"/>
      <c r="R8" s="945"/>
      <c r="S8" s="716"/>
      <c r="T8" s="527"/>
      <c r="U8" s="528"/>
      <c r="V8" s="528"/>
      <c r="W8" s="534"/>
      <c r="Y8" s="69"/>
      <c r="Z8" s="69"/>
    </row>
    <row r="9" spans="1:26" s="51" customFormat="1" ht="21" customHeight="1" x14ac:dyDescent="0.25">
      <c r="A9" s="530" t="s">
        <v>240</v>
      </c>
      <c r="B9" s="532" t="s">
        <v>241</v>
      </c>
      <c r="C9" s="943"/>
      <c r="D9" s="710">
        <f>E9/C4</f>
        <v>9.3714285714285708E-2</v>
      </c>
      <c r="E9" s="528">
        <v>984</v>
      </c>
      <c r="F9" s="526">
        <f>G9/C4</f>
        <v>9.3714285714285719</v>
      </c>
      <c r="G9" s="526">
        <f>E9*100</f>
        <v>98400</v>
      </c>
      <c r="H9" s="945"/>
      <c r="I9" s="716"/>
      <c r="J9" s="527"/>
      <c r="K9" s="528"/>
      <c r="L9" s="528"/>
      <c r="M9" s="945"/>
      <c r="N9" s="716"/>
      <c r="O9" s="527"/>
      <c r="P9" s="528"/>
      <c r="Q9" s="528"/>
      <c r="R9" s="945"/>
      <c r="S9" s="716"/>
      <c r="T9" s="527"/>
      <c r="U9" s="528"/>
      <c r="V9" s="528"/>
      <c r="W9" s="534"/>
      <c r="Y9" s="69"/>
      <c r="Z9" s="69"/>
    </row>
    <row r="10" spans="1:26" s="51" customFormat="1" ht="71.25" customHeight="1" x14ac:dyDescent="0.25">
      <c r="A10" s="530" t="s">
        <v>242</v>
      </c>
      <c r="B10" s="532" t="s">
        <v>243</v>
      </c>
      <c r="C10" s="943"/>
      <c r="D10" s="710">
        <f>E10/C4</f>
        <v>9.3714285714285708E-2</v>
      </c>
      <c r="E10" s="528">
        <v>984</v>
      </c>
      <c r="F10" s="526">
        <f>G10/C4</f>
        <v>9.3714285714285719</v>
      </c>
      <c r="G10" s="526">
        <f>E10*100</f>
        <v>98400</v>
      </c>
      <c r="H10" s="945"/>
      <c r="I10" s="716"/>
      <c r="J10" s="527"/>
      <c r="K10" s="528"/>
      <c r="L10" s="528"/>
      <c r="M10" s="945"/>
      <c r="N10" s="716"/>
      <c r="O10" s="527"/>
      <c r="P10" s="528"/>
      <c r="Q10" s="528"/>
      <c r="R10" s="945"/>
      <c r="S10" s="716"/>
      <c r="T10" s="527"/>
      <c r="U10" s="528"/>
      <c r="V10" s="528"/>
      <c r="W10" s="534"/>
      <c r="Y10" s="69"/>
      <c r="Z10" s="69"/>
    </row>
    <row r="11" spans="1:26" ht="33.75" customHeight="1" x14ac:dyDescent="0.25">
      <c r="A11" s="530" t="s">
        <v>244</v>
      </c>
      <c r="B11" s="532" t="s">
        <v>245</v>
      </c>
      <c r="C11" s="943"/>
      <c r="D11" s="710"/>
      <c r="E11" s="535"/>
      <c r="F11" s="528"/>
      <c r="G11" s="526"/>
      <c r="H11" s="945"/>
      <c r="I11" s="710">
        <f>J11/H4</f>
        <v>6.56</v>
      </c>
      <c r="J11" s="533">
        <v>1968</v>
      </c>
      <c r="K11" s="528">
        <f>L11/H4</f>
        <v>656</v>
      </c>
      <c r="L11" s="528">
        <f>J11*100</f>
        <v>196800</v>
      </c>
      <c r="M11" s="945"/>
      <c r="N11" s="710">
        <f>O11/M4</f>
        <v>5.6</v>
      </c>
      <c r="O11" s="527">
        <v>168</v>
      </c>
      <c r="P11" s="528">
        <f>Q11/M4</f>
        <v>560</v>
      </c>
      <c r="Q11" s="528">
        <f>O11*100</f>
        <v>16800</v>
      </c>
      <c r="R11" s="945"/>
      <c r="S11" s="710">
        <f>T11/R4</f>
        <v>0.26250000000000001</v>
      </c>
      <c r="T11" s="527">
        <v>168</v>
      </c>
      <c r="U11" s="528">
        <f>V11/R4</f>
        <v>39.375</v>
      </c>
      <c r="V11" s="528">
        <f>T11*150</f>
        <v>25200</v>
      </c>
      <c r="W11" s="529"/>
      <c r="Y11" s="30"/>
      <c r="Z11" s="30"/>
    </row>
    <row r="12" spans="1:26" ht="47.25" customHeight="1" x14ac:dyDescent="0.25">
      <c r="A12" s="530" t="s">
        <v>246</v>
      </c>
      <c r="B12" s="532" t="s">
        <v>247</v>
      </c>
      <c r="C12" s="943"/>
      <c r="D12" s="710"/>
      <c r="E12" s="535"/>
      <c r="F12" s="528"/>
      <c r="G12" s="526"/>
      <c r="H12" s="945"/>
      <c r="I12" s="710">
        <f>J12/H4</f>
        <v>3.28</v>
      </c>
      <c r="J12" s="533">
        <v>984</v>
      </c>
      <c r="K12" s="528">
        <f>L12/H4</f>
        <v>328</v>
      </c>
      <c r="L12" s="528">
        <f>J12*100</f>
        <v>98400</v>
      </c>
      <c r="M12" s="945"/>
      <c r="N12" s="710">
        <f>O12/M4</f>
        <v>32.799999999999997</v>
      </c>
      <c r="O12" s="527">
        <v>984</v>
      </c>
      <c r="P12" s="528">
        <f>Q12/M4</f>
        <v>3280</v>
      </c>
      <c r="Q12" s="528">
        <f>O12*100</f>
        <v>98400</v>
      </c>
      <c r="R12" s="945"/>
      <c r="S12" s="710">
        <f>T12/R4</f>
        <v>1.5375000000000001</v>
      </c>
      <c r="T12" s="527">
        <v>984</v>
      </c>
      <c r="U12" s="528">
        <f>V12/R4</f>
        <v>230.625</v>
      </c>
      <c r="V12" s="528">
        <f>T12*150</f>
        <v>147600</v>
      </c>
      <c r="W12" s="529"/>
      <c r="Y12" s="30"/>
      <c r="Z12" s="30"/>
    </row>
    <row r="13" spans="1:26" ht="15.75" customHeight="1" x14ac:dyDescent="0.25">
      <c r="A13" s="530"/>
      <c r="B13" s="532" t="s">
        <v>63</v>
      </c>
      <c r="C13" s="944"/>
      <c r="D13" s="710"/>
      <c r="E13" s="528"/>
      <c r="F13" s="528"/>
      <c r="G13" s="528">
        <f>G4+G5+G6+G7+G8+G9+G10+0.01</f>
        <v>2301600.0099999998</v>
      </c>
      <c r="H13" s="945"/>
      <c r="I13" s="715"/>
      <c r="J13" s="528"/>
      <c r="K13" s="528"/>
      <c r="L13" s="528">
        <f>L11+L12+L6+L4</f>
        <v>492000</v>
      </c>
      <c r="M13" s="945"/>
      <c r="N13" s="715"/>
      <c r="O13" s="528"/>
      <c r="P13" s="528"/>
      <c r="Q13" s="528">
        <f>Q5+Q11+Q12</f>
        <v>312000</v>
      </c>
      <c r="R13" s="945"/>
      <c r="S13" s="715"/>
      <c r="T13" s="528"/>
      <c r="U13" s="528"/>
      <c r="V13" s="528">
        <f>V11+V12</f>
        <v>172800</v>
      </c>
      <c r="Y13" s="30"/>
    </row>
    <row r="14" spans="1:26" x14ac:dyDescent="0.25">
      <c r="A14" s="9"/>
      <c r="B14" s="23"/>
      <c r="C14" s="23"/>
      <c r="D14" s="711"/>
      <c r="E14" s="23"/>
      <c r="F14" s="23"/>
      <c r="G14" s="23"/>
      <c r="H14" s="536"/>
      <c r="I14" s="711"/>
      <c r="J14" s="23"/>
      <c r="K14" s="23"/>
      <c r="L14" s="9"/>
      <c r="M14" s="487"/>
      <c r="N14" s="717"/>
      <c r="O14" s="487"/>
      <c r="P14" s="487"/>
      <c r="Q14" s="487"/>
    </row>
    <row r="15" spans="1:26" x14ac:dyDescent="0.25">
      <c r="A15" s="9"/>
      <c r="B15" s="9"/>
      <c r="C15" s="9"/>
      <c r="D15" s="712"/>
      <c r="E15" s="9"/>
      <c r="F15" s="9"/>
      <c r="G15" s="9"/>
      <c r="H15" s="537"/>
      <c r="I15" s="712"/>
      <c r="J15" s="9"/>
      <c r="K15" s="9"/>
      <c r="L15" s="23"/>
      <c r="M15" s="487"/>
      <c r="N15" s="717"/>
      <c r="O15" s="487"/>
      <c r="P15" s="487"/>
      <c r="Q15" s="538">
        <f>G13+L13+Q13</f>
        <v>3105600.01</v>
      </c>
      <c r="V15" s="69">
        <f>G13+L13+Q13+V13</f>
        <v>3278400.01</v>
      </c>
    </row>
    <row r="16" spans="1:26" x14ac:dyDescent="0.25">
      <c r="A16" s="32"/>
      <c r="B16" s="32"/>
      <c r="C16" s="32"/>
      <c r="D16" s="713"/>
      <c r="E16" s="32"/>
      <c r="F16" s="32"/>
      <c r="G16" s="32"/>
      <c r="H16" s="32"/>
      <c r="I16" s="713"/>
      <c r="J16" s="32"/>
      <c r="K16" s="32"/>
      <c r="L16" s="32"/>
    </row>
    <row r="17" spans="1:12" x14ac:dyDescent="0.25">
      <c r="A17" s="32"/>
      <c r="B17" s="32"/>
      <c r="C17" s="32"/>
      <c r="D17" s="713"/>
      <c r="E17" s="32"/>
      <c r="F17" s="32"/>
      <c r="G17" s="32"/>
      <c r="H17" s="32"/>
      <c r="I17" s="713"/>
      <c r="J17" s="32"/>
      <c r="K17" s="32"/>
      <c r="L17" s="32"/>
    </row>
  </sheetData>
  <mergeCells count="15">
    <mergeCell ref="C4:C13"/>
    <mergeCell ref="H4:H13"/>
    <mergeCell ref="M4:M13"/>
    <mergeCell ref="R4:R13"/>
    <mergeCell ref="A1:V1"/>
    <mergeCell ref="A2:A3"/>
    <mergeCell ref="B2:B3"/>
    <mergeCell ref="C2:C3"/>
    <mergeCell ref="D2:G2"/>
    <mergeCell ref="H2:H3"/>
    <mergeCell ref="I2:L2"/>
    <mergeCell ref="M2:M3"/>
    <mergeCell ref="N2:Q2"/>
    <mergeCell ref="R2:R3"/>
    <mergeCell ref="S2:V2"/>
  </mergeCells>
  <pageMargins left="0.25" right="0.25" top="0.75" bottom="0.75" header="0.3" footer="0.3"/>
  <pageSetup paperSize="9" scale="6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37"/>
  <sheetViews>
    <sheetView zoomScale="85" zoomScaleNormal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18" sqref="F18"/>
    </sheetView>
  </sheetViews>
  <sheetFormatPr defaultRowHeight="15" x14ac:dyDescent="0.25"/>
  <cols>
    <col min="1" max="1" width="32.28515625" customWidth="1"/>
    <col min="2" max="2" width="8" customWidth="1"/>
    <col min="3" max="3" width="11.85546875" customWidth="1"/>
    <col min="4" max="4" width="11.85546875" style="750" customWidth="1"/>
    <col min="5" max="5" width="12.5703125" customWidth="1"/>
    <col min="6" max="6" width="12.28515625" customWidth="1"/>
    <col min="7" max="7" width="9.28515625" customWidth="1"/>
    <col min="8" max="8" width="11.85546875" customWidth="1"/>
    <col min="9" max="9" width="11.85546875" style="750" customWidth="1"/>
    <col min="10" max="10" width="11.42578125" customWidth="1"/>
    <col min="11" max="11" width="12.5703125" customWidth="1"/>
    <col min="12" max="12" width="11.5703125" customWidth="1"/>
    <col min="14" max="14" width="12.28515625" style="750" customWidth="1"/>
    <col min="15" max="15" width="12" customWidth="1"/>
    <col min="16" max="16" width="11.28515625" customWidth="1"/>
    <col min="17" max="17" width="9.140625" hidden="1" customWidth="1"/>
    <col min="18" max="18" width="10.5703125" hidden="1" customWidth="1"/>
    <col min="19" max="19" width="14.28515625" style="750" hidden="1" customWidth="1"/>
    <col min="20" max="20" width="10.5703125" hidden="1" customWidth="1"/>
    <col min="21" max="21" width="12.5703125" hidden="1" customWidth="1"/>
  </cols>
  <sheetData>
    <row r="1" spans="1:22" ht="42.75" customHeight="1" x14ac:dyDescent="0.25">
      <c r="A1" s="842" t="s">
        <v>248</v>
      </c>
      <c r="B1" s="842"/>
      <c r="C1" s="842"/>
      <c r="D1" s="842"/>
      <c r="E1" s="842"/>
      <c r="F1" s="842"/>
      <c r="G1" s="842"/>
      <c r="H1" s="842"/>
      <c r="I1" s="842"/>
      <c r="J1" s="842"/>
      <c r="K1" s="842"/>
      <c r="L1" s="842"/>
      <c r="M1" s="842"/>
      <c r="N1" s="842"/>
      <c r="O1" s="842"/>
      <c r="P1" s="842"/>
      <c r="Q1" s="842"/>
      <c r="R1" s="842"/>
      <c r="S1" s="842"/>
      <c r="T1" s="842"/>
      <c r="U1" s="842"/>
    </row>
    <row r="2" spans="1:22" ht="91.5" customHeight="1" x14ac:dyDescent="0.25">
      <c r="A2" s="953" t="s">
        <v>47</v>
      </c>
      <c r="B2" s="955" t="s">
        <v>249</v>
      </c>
      <c r="C2" s="957" t="s">
        <v>274</v>
      </c>
      <c r="D2" s="957"/>
      <c r="E2" s="957"/>
      <c r="F2" s="957"/>
      <c r="G2" s="953" t="s">
        <v>250</v>
      </c>
      <c r="H2" s="958" t="s">
        <v>275</v>
      </c>
      <c r="I2" s="959"/>
      <c r="J2" s="959"/>
      <c r="K2" s="959"/>
      <c r="L2" s="953" t="s">
        <v>250</v>
      </c>
      <c r="M2" s="960" t="s">
        <v>273</v>
      </c>
      <c r="N2" s="960"/>
      <c r="O2" s="960"/>
      <c r="P2" s="960"/>
      <c r="Q2" s="953" t="s">
        <v>250</v>
      </c>
      <c r="R2" s="960" t="s">
        <v>276</v>
      </c>
      <c r="S2" s="960"/>
      <c r="T2" s="960"/>
      <c r="U2" s="960"/>
    </row>
    <row r="3" spans="1:22" ht="94.5" customHeight="1" x14ac:dyDescent="0.25">
      <c r="A3" s="954"/>
      <c r="B3" s="956"/>
      <c r="C3" s="539" t="s">
        <v>191</v>
      </c>
      <c r="D3" s="738"/>
      <c r="E3" s="540" t="s">
        <v>251</v>
      </c>
      <c r="F3" s="540" t="s">
        <v>51</v>
      </c>
      <c r="G3" s="954"/>
      <c r="H3" s="539" t="s">
        <v>191</v>
      </c>
      <c r="I3" s="738"/>
      <c r="J3" s="540" t="s">
        <v>251</v>
      </c>
      <c r="K3" s="540" t="s">
        <v>51</v>
      </c>
      <c r="L3" s="954"/>
      <c r="M3" s="539" t="s">
        <v>191</v>
      </c>
      <c r="N3" s="738"/>
      <c r="O3" s="540" t="s">
        <v>251</v>
      </c>
      <c r="P3" s="540" t="s">
        <v>51</v>
      </c>
      <c r="Q3" s="954"/>
      <c r="R3" s="539" t="s">
        <v>191</v>
      </c>
      <c r="S3" s="738"/>
      <c r="T3" s="540" t="s">
        <v>251</v>
      </c>
      <c r="U3" s="540" t="s">
        <v>51</v>
      </c>
    </row>
    <row r="4" spans="1:22" ht="36" customHeight="1" x14ac:dyDescent="0.25">
      <c r="A4" s="541" t="s">
        <v>252</v>
      </c>
      <c r="B4" s="542"/>
      <c r="C4" s="543"/>
      <c r="D4" s="739"/>
      <c r="E4" s="543"/>
      <c r="F4" s="543"/>
      <c r="G4" s="544"/>
      <c r="H4" s="543"/>
      <c r="I4" s="739"/>
      <c r="J4" s="543"/>
      <c r="K4" s="543"/>
      <c r="L4" s="545"/>
      <c r="M4" s="543"/>
      <c r="N4" s="739"/>
      <c r="O4" s="543"/>
      <c r="P4" s="543"/>
      <c r="Q4" s="545"/>
      <c r="R4" s="543"/>
      <c r="S4" s="739"/>
      <c r="T4" s="543"/>
      <c r="U4" s="543"/>
    </row>
    <row r="5" spans="1:22" x14ac:dyDescent="0.25">
      <c r="A5" s="546" t="s">
        <v>253</v>
      </c>
      <c r="B5" s="961">
        <v>10500</v>
      </c>
      <c r="C5" s="547">
        <v>1E-3</v>
      </c>
      <c r="D5" s="740">
        <f>F5/B5</f>
        <v>17.123142857142856</v>
      </c>
      <c r="E5" s="547">
        <f>C5*B5</f>
        <v>10.5</v>
      </c>
      <c r="F5" s="548">
        <f>180000-207</f>
        <v>179793</v>
      </c>
      <c r="G5" s="964">
        <v>300</v>
      </c>
      <c r="H5" s="548"/>
      <c r="I5" s="751"/>
      <c r="J5" s="548"/>
      <c r="K5" s="548"/>
      <c r="L5" s="967">
        <v>30</v>
      </c>
      <c r="M5" s="548"/>
      <c r="N5" s="751"/>
      <c r="O5" s="548"/>
      <c r="P5" s="548"/>
      <c r="Q5" s="970">
        <v>640</v>
      </c>
      <c r="R5" s="548"/>
      <c r="S5" s="751"/>
      <c r="T5" s="548"/>
      <c r="U5" s="548"/>
      <c r="V5" t="s">
        <v>168</v>
      </c>
    </row>
    <row r="6" spans="1:22" ht="14.25" customHeight="1" x14ac:dyDescent="0.25">
      <c r="A6" s="546" t="s">
        <v>254</v>
      </c>
      <c r="B6" s="962"/>
      <c r="C6" s="549">
        <v>7.0000000000000001E-3</v>
      </c>
      <c r="D6" s="741">
        <f>F6/B5</f>
        <v>2.3809523809523809</v>
      </c>
      <c r="E6" s="550">
        <f>C6*B5</f>
        <v>73.5</v>
      </c>
      <c r="F6" s="548">
        <v>25000</v>
      </c>
      <c r="G6" s="965"/>
      <c r="H6" s="548"/>
      <c r="I6" s="751"/>
      <c r="J6" s="548"/>
      <c r="K6" s="548"/>
      <c r="L6" s="968"/>
      <c r="M6" s="548"/>
      <c r="N6" s="751"/>
      <c r="O6" s="548"/>
      <c r="P6" s="548"/>
      <c r="Q6" s="971"/>
      <c r="R6" s="548"/>
      <c r="S6" s="751"/>
      <c r="T6" s="548"/>
      <c r="U6" s="548"/>
      <c r="V6" t="s">
        <v>168</v>
      </c>
    </row>
    <row r="7" spans="1:22" ht="15" customHeight="1" x14ac:dyDescent="0.25">
      <c r="A7" s="552" t="s">
        <v>255</v>
      </c>
      <c r="B7" s="962"/>
      <c r="C7" s="553">
        <v>1</v>
      </c>
      <c r="D7" s="742">
        <f>F7/B5</f>
        <v>2.2666666666666666</v>
      </c>
      <c r="E7" s="553">
        <v>3400</v>
      </c>
      <c r="F7" s="554">
        <f>E7*7</f>
        <v>23800</v>
      </c>
      <c r="G7" s="965"/>
      <c r="H7" s="554"/>
      <c r="I7" s="752"/>
      <c r="J7" s="554"/>
      <c r="K7" s="554"/>
      <c r="L7" s="968"/>
      <c r="M7" s="554"/>
      <c r="N7" s="752"/>
      <c r="O7" s="554"/>
      <c r="P7" s="554"/>
      <c r="Q7" s="971"/>
      <c r="R7" s="554"/>
      <c r="S7" s="752"/>
      <c r="T7" s="554"/>
      <c r="U7" s="554"/>
      <c r="V7" t="s">
        <v>167</v>
      </c>
    </row>
    <row r="8" spans="1:22" ht="21" customHeight="1" x14ac:dyDescent="0.25">
      <c r="A8" s="552" t="s">
        <v>256</v>
      </c>
      <c r="B8" s="962"/>
      <c r="C8" s="556">
        <v>4.4999999999999997E-3</v>
      </c>
      <c r="D8" s="743">
        <f>F8/B5</f>
        <v>0.225047619047619</v>
      </c>
      <c r="E8" s="554">
        <f>C8*B5</f>
        <v>47.249999999999993</v>
      </c>
      <c r="F8" s="554">
        <f>E8*50+0.5</f>
        <v>2362.9999999999995</v>
      </c>
      <c r="G8" s="965"/>
      <c r="H8" s="554"/>
      <c r="I8" s="752"/>
      <c r="J8" s="554"/>
      <c r="K8" s="554"/>
      <c r="L8" s="968"/>
      <c r="M8" s="554"/>
      <c r="N8" s="752"/>
      <c r="O8" s="554"/>
      <c r="P8" s="554"/>
      <c r="Q8" s="971"/>
      <c r="R8" s="554"/>
      <c r="S8" s="752"/>
      <c r="T8" s="554"/>
      <c r="U8" s="554"/>
      <c r="V8" t="s">
        <v>167</v>
      </c>
    </row>
    <row r="9" spans="1:22" ht="15" customHeight="1" x14ac:dyDescent="0.25">
      <c r="A9" s="552" t="s">
        <v>257</v>
      </c>
      <c r="B9" s="962"/>
      <c r="C9" s="556"/>
      <c r="D9" s="743"/>
      <c r="E9" s="555"/>
      <c r="F9" s="554"/>
      <c r="G9" s="965"/>
      <c r="H9" s="554">
        <v>20</v>
      </c>
      <c r="I9" s="752">
        <f>K9/G5</f>
        <v>11.2</v>
      </c>
      <c r="J9" s="554">
        <f>20*240</f>
        <v>4800</v>
      </c>
      <c r="K9" s="554">
        <f>J9*0.7</f>
        <v>3360</v>
      </c>
      <c r="L9" s="968"/>
      <c r="M9" s="554"/>
      <c r="N9" s="752"/>
      <c r="O9" s="554"/>
      <c r="P9" s="554"/>
      <c r="Q9" s="971"/>
      <c r="R9" s="554">
        <v>3</v>
      </c>
      <c r="S9" s="752">
        <f>U9/Q5</f>
        <v>9.0109375000000007</v>
      </c>
      <c r="T9" s="554">
        <f>R9*3204</f>
        <v>9612</v>
      </c>
      <c r="U9" s="554">
        <f>T9*0.6-0.2</f>
        <v>5767</v>
      </c>
      <c r="V9" t="s">
        <v>167</v>
      </c>
    </row>
    <row r="10" spans="1:22" ht="15" customHeight="1" x14ac:dyDescent="0.25">
      <c r="A10" s="552" t="s">
        <v>258</v>
      </c>
      <c r="B10" s="962"/>
      <c r="C10" s="556"/>
      <c r="D10" s="743"/>
      <c r="E10" s="555"/>
      <c r="F10" s="554"/>
      <c r="G10" s="965"/>
      <c r="H10" s="554">
        <v>0.05</v>
      </c>
      <c r="I10" s="752">
        <f>K10/G5</f>
        <v>2</v>
      </c>
      <c r="J10" s="554">
        <f>G5*H10</f>
        <v>15</v>
      </c>
      <c r="K10" s="554">
        <f>J10*40</f>
        <v>600</v>
      </c>
      <c r="L10" s="968"/>
      <c r="M10" s="554"/>
      <c r="N10" s="752"/>
      <c r="O10" s="554"/>
      <c r="P10" s="554"/>
      <c r="Q10" s="971"/>
      <c r="R10" s="554">
        <v>0.01</v>
      </c>
      <c r="S10" s="752">
        <f>U10/Q5</f>
        <v>2.0015624999999999</v>
      </c>
      <c r="T10" s="554">
        <f>0.01*3204</f>
        <v>32.04</v>
      </c>
      <c r="U10" s="554">
        <f>T10*40-0.6</f>
        <v>1281</v>
      </c>
      <c r="V10" t="s">
        <v>168</v>
      </c>
    </row>
    <row r="11" spans="1:22" ht="15" customHeight="1" x14ac:dyDescent="0.25">
      <c r="A11" s="552" t="s">
        <v>89</v>
      </c>
      <c r="B11" s="963"/>
      <c r="C11" s="556"/>
      <c r="D11" s="743"/>
      <c r="E11" s="555"/>
      <c r="F11" s="554"/>
      <c r="G11" s="966"/>
      <c r="H11" s="557">
        <v>0.26500000000000001</v>
      </c>
      <c r="I11" s="753">
        <f>K11/G5</f>
        <v>18.549833333333332</v>
      </c>
      <c r="J11" s="554">
        <f>H11*G5</f>
        <v>79.5</v>
      </c>
      <c r="K11" s="554">
        <f>J11*70-0.05</f>
        <v>5564.95</v>
      </c>
      <c r="L11" s="969"/>
      <c r="M11" s="554">
        <v>0.6</v>
      </c>
      <c r="N11" s="752">
        <f>P11/L5</f>
        <v>276.93333333333334</v>
      </c>
      <c r="O11" s="554">
        <f>L5*M11</f>
        <v>18</v>
      </c>
      <c r="P11" s="554">
        <f>O11*70+7048</f>
        <v>8308</v>
      </c>
      <c r="Q11" s="972"/>
      <c r="R11" s="554"/>
      <c r="S11" s="752"/>
      <c r="T11" s="554"/>
      <c r="U11" s="554"/>
      <c r="V11" t="s">
        <v>286</v>
      </c>
    </row>
    <row r="12" spans="1:22" x14ac:dyDescent="0.25">
      <c r="A12" s="558" t="s">
        <v>63</v>
      </c>
      <c r="B12" s="559"/>
      <c r="C12" s="560"/>
      <c r="D12" s="744"/>
      <c r="E12" s="561"/>
      <c r="F12" s="562">
        <f>F5+F6+F7+F8</f>
        <v>230956</v>
      </c>
      <c r="G12" s="551"/>
      <c r="H12" s="562"/>
      <c r="I12" s="747"/>
      <c r="J12" s="562"/>
      <c r="K12" s="562">
        <f>K5+K6+K7+K8+K9+K10+K11</f>
        <v>9524.9500000000007</v>
      </c>
      <c r="L12" s="563"/>
      <c r="M12" s="562"/>
      <c r="N12" s="747"/>
      <c r="O12" s="562"/>
      <c r="P12" s="562">
        <f>P5+P6+P7+P8+P9+P10+P11</f>
        <v>8308</v>
      </c>
      <c r="Q12" s="563"/>
      <c r="R12" s="562"/>
      <c r="S12" s="747"/>
      <c r="T12" s="562"/>
      <c r="U12" s="562">
        <f>U5+U6+U7+U8+U9+U10+U11</f>
        <v>7048</v>
      </c>
    </row>
    <row r="13" spans="1:22" ht="43.5" customHeight="1" x14ac:dyDescent="0.25">
      <c r="A13" s="532" t="s">
        <v>259</v>
      </c>
      <c r="B13" s="973">
        <v>10500</v>
      </c>
      <c r="C13" s="564"/>
      <c r="D13" s="745"/>
      <c r="E13" s="564"/>
      <c r="F13" s="564"/>
      <c r="G13" s="974">
        <v>300</v>
      </c>
      <c r="H13" s="975"/>
      <c r="I13" s="975"/>
      <c r="J13" s="975"/>
      <c r="K13" s="975"/>
      <c r="L13" s="976">
        <v>30</v>
      </c>
      <c r="M13" s="565"/>
      <c r="N13" s="747"/>
      <c r="O13" s="565"/>
      <c r="P13" s="565"/>
      <c r="Q13" s="977">
        <v>640</v>
      </c>
      <c r="R13" s="565"/>
      <c r="S13" s="747"/>
      <c r="T13" s="565"/>
      <c r="U13" s="565"/>
    </row>
    <row r="14" spans="1:22" x14ac:dyDescent="0.25">
      <c r="A14" s="530" t="s">
        <v>260</v>
      </c>
      <c r="B14" s="973"/>
      <c r="C14" s="566">
        <f>E14/B13</f>
        <v>0.32380952380952382</v>
      </c>
      <c r="D14" s="746">
        <f>F14/B13</f>
        <v>3.2380952380952381</v>
      </c>
      <c r="E14" s="567">
        <v>3400</v>
      </c>
      <c r="F14" s="565">
        <f>E14*10</f>
        <v>34000</v>
      </c>
      <c r="G14" s="974"/>
      <c r="H14" s="565"/>
      <c r="I14" s="747"/>
      <c r="J14" s="565"/>
      <c r="K14" s="565"/>
      <c r="L14" s="976"/>
      <c r="M14" s="565"/>
      <c r="N14" s="747"/>
      <c r="O14" s="565"/>
      <c r="P14" s="565"/>
      <c r="Q14" s="977"/>
      <c r="R14" s="565"/>
      <c r="S14" s="747"/>
      <c r="T14" s="565"/>
      <c r="U14" s="565"/>
      <c r="V14" t="s">
        <v>283</v>
      </c>
    </row>
    <row r="15" spans="1:22" ht="15" hidden="1" customHeight="1" x14ac:dyDescent="0.25">
      <c r="A15" s="530" t="s">
        <v>261</v>
      </c>
      <c r="B15" s="973"/>
      <c r="C15" s="567"/>
      <c r="D15" s="744"/>
      <c r="E15" s="568"/>
      <c r="F15" s="565"/>
      <c r="G15" s="974"/>
      <c r="H15" s="565"/>
      <c r="I15" s="747"/>
      <c r="J15" s="565"/>
      <c r="K15" s="565"/>
      <c r="L15" s="976"/>
      <c r="M15" s="565"/>
      <c r="N15" s="747"/>
      <c r="O15" s="565"/>
      <c r="P15" s="565"/>
      <c r="Q15" s="977"/>
      <c r="R15" s="565"/>
      <c r="S15" s="747"/>
      <c r="T15" s="565"/>
      <c r="U15" s="565"/>
    </row>
    <row r="16" spans="1:22" x14ac:dyDescent="0.25">
      <c r="A16" s="530"/>
      <c r="B16" s="973"/>
      <c r="C16" s="565"/>
      <c r="D16" s="747"/>
      <c r="E16" s="565"/>
      <c r="F16" s="565"/>
      <c r="G16" s="974"/>
      <c r="H16" s="565"/>
      <c r="I16" s="747"/>
      <c r="J16" s="565"/>
      <c r="K16" s="565"/>
      <c r="L16" s="976"/>
      <c r="M16" s="565"/>
      <c r="N16" s="747"/>
      <c r="O16" s="565"/>
      <c r="P16" s="565"/>
      <c r="Q16" s="977"/>
      <c r="R16" s="565"/>
      <c r="S16" s="747"/>
      <c r="T16" s="565"/>
      <c r="U16" s="565"/>
    </row>
    <row r="17" spans="1:21" x14ac:dyDescent="0.25">
      <c r="A17" s="569" t="s">
        <v>63</v>
      </c>
      <c r="B17" s="570"/>
      <c r="C17" s="571"/>
      <c r="D17" s="747"/>
      <c r="E17" s="571"/>
      <c r="F17" s="571">
        <f>F14+F16</f>
        <v>34000</v>
      </c>
      <c r="G17" s="572"/>
      <c r="H17" s="571"/>
      <c r="I17" s="747"/>
      <c r="J17" s="571"/>
      <c r="K17" s="571">
        <f>K14+K16</f>
        <v>0</v>
      </c>
      <c r="L17" s="573"/>
      <c r="M17" s="571"/>
      <c r="N17" s="747"/>
      <c r="O17" s="571"/>
      <c r="P17" s="571">
        <f>P14+P16</f>
        <v>0</v>
      </c>
      <c r="Q17" s="573"/>
      <c r="R17" s="571"/>
      <c r="S17" s="747"/>
      <c r="T17" s="571"/>
      <c r="U17" s="571">
        <f>U14+U16</f>
        <v>0</v>
      </c>
    </row>
    <row r="18" spans="1:21" x14ac:dyDescent="0.25">
      <c r="A18" s="569" t="s">
        <v>69</v>
      </c>
      <c r="B18" s="569"/>
      <c r="C18" s="571"/>
      <c r="D18" s="747"/>
      <c r="E18" s="571"/>
      <c r="F18" s="571">
        <f>F12+F17</f>
        <v>264956</v>
      </c>
      <c r="G18" s="571"/>
      <c r="H18" s="571"/>
      <c r="I18" s="747"/>
      <c r="J18" s="571"/>
      <c r="K18" s="571">
        <f>K12+K17</f>
        <v>9524.9500000000007</v>
      </c>
      <c r="L18" s="571"/>
      <c r="M18" s="571"/>
      <c r="N18" s="747"/>
      <c r="O18" s="571"/>
      <c r="P18" s="571">
        <f>P12+P17</f>
        <v>8308</v>
      </c>
      <c r="Q18" s="571"/>
      <c r="R18" s="571"/>
      <c r="S18" s="747"/>
      <c r="T18" s="571"/>
      <c r="U18" s="571">
        <f>U12+U17</f>
        <v>7048</v>
      </c>
    </row>
    <row r="19" spans="1:21" x14ac:dyDescent="0.25">
      <c r="A19" s="28"/>
      <c r="B19" s="28"/>
      <c r="C19" s="28"/>
      <c r="D19" s="748"/>
      <c r="E19" s="28"/>
      <c r="F19" s="28"/>
      <c r="G19" s="28"/>
      <c r="H19" s="28"/>
      <c r="I19" s="748"/>
      <c r="J19" s="28"/>
      <c r="K19" s="28"/>
      <c r="L19" s="28"/>
      <c r="M19" s="28"/>
      <c r="N19" s="748"/>
      <c r="O19" s="28"/>
      <c r="P19" s="28"/>
      <c r="Q19" s="28"/>
      <c r="R19" s="30"/>
      <c r="S19" s="754"/>
    </row>
    <row r="20" spans="1:21" x14ac:dyDescent="0.25">
      <c r="A20" s="574">
        <f>336</f>
        <v>336</v>
      </c>
      <c r="B20" s="28"/>
      <c r="C20" s="28"/>
      <c r="D20" s="748"/>
      <c r="E20" s="28"/>
      <c r="F20" s="28"/>
      <c r="G20" s="28"/>
      <c r="H20" s="28"/>
      <c r="I20" s="748"/>
      <c r="J20" s="28"/>
      <c r="K20" s="28"/>
      <c r="L20" s="28"/>
      <c r="M20" s="28"/>
      <c r="N20" s="748"/>
      <c r="O20" s="28"/>
      <c r="P20" s="28">
        <f>F5+F6+F7+F8+F14+K9+K10+K11+P11</f>
        <v>282788.95</v>
      </c>
      <c r="Q20" s="28"/>
      <c r="R20" s="30"/>
      <c r="S20" s="754"/>
      <c r="U20" s="30">
        <f>F18+K18+P18+U18</f>
        <v>289836.95</v>
      </c>
    </row>
    <row r="21" spans="1:21" x14ac:dyDescent="0.25">
      <c r="A21" s="574">
        <v>22340</v>
      </c>
      <c r="B21" s="28"/>
      <c r="C21" s="28"/>
      <c r="D21" s="748"/>
      <c r="E21" s="28"/>
      <c r="F21" s="28"/>
      <c r="G21" s="28"/>
      <c r="H21" s="28"/>
      <c r="I21" s="748"/>
      <c r="J21" s="28"/>
      <c r="K21" s="28"/>
      <c r="L21" s="28"/>
      <c r="M21" s="28"/>
      <c r="N21" s="748"/>
      <c r="O21" s="28"/>
      <c r="P21" s="28"/>
      <c r="Q21" s="28"/>
      <c r="R21" s="30"/>
      <c r="S21" s="754"/>
    </row>
    <row r="22" spans="1:21" x14ac:dyDescent="0.25">
      <c r="A22" s="574"/>
      <c r="B22" s="28"/>
      <c r="C22" s="28"/>
      <c r="D22" s="748"/>
      <c r="E22" s="28"/>
      <c r="F22" s="28"/>
      <c r="G22" s="28"/>
      <c r="H22" s="28"/>
      <c r="I22" s="748"/>
      <c r="J22" s="28"/>
      <c r="K22" s="28"/>
      <c r="L22" s="28"/>
      <c r="M22" s="28"/>
      <c r="N22" s="748"/>
      <c r="O22" s="28"/>
      <c r="P22" s="28"/>
      <c r="Q22" s="28"/>
      <c r="R22" s="30"/>
      <c r="S22" s="754"/>
      <c r="U22" s="30"/>
    </row>
    <row r="23" spans="1:21" x14ac:dyDescent="0.25">
      <c r="A23" s="32"/>
      <c r="B23" s="32"/>
      <c r="C23" s="32"/>
      <c r="D23" s="749"/>
      <c r="E23" s="32"/>
      <c r="F23" s="32"/>
      <c r="G23" s="32"/>
      <c r="H23" s="32"/>
      <c r="I23" s="749"/>
      <c r="J23" s="32"/>
      <c r="K23" s="32"/>
      <c r="L23" s="32"/>
      <c r="M23" s="32"/>
      <c r="N23" s="749"/>
      <c r="O23" s="32"/>
      <c r="P23" s="32"/>
      <c r="Q23" s="32"/>
    </row>
    <row r="24" spans="1:21" x14ac:dyDescent="0.25">
      <c r="A24" s="32"/>
      <c r="B24" s="32"/>
      <c r="C24" s="32"/>
      <c r="D24" s="749"/>
      <c r="E24" s="32"/>
      <c r="F24" s="32"/>
      <c r="G24" s="32"/>
      <c r="H24" s="32"/>
      <c r="I24" s="749"/>
      <c r="J24" s="32"/>
      <c r="K24" s="32"/>
      <c r="L24" s="32"/>
      <c r="M24" s="32"/>
      <c r="N24" s="749"/>
      <c r="O24" s="32"/>
      <c r="P24" s="32"/>
      <c r="Q24" s="32"/>
    </row>
    <row r="25" spans="1:21" x14ac:dyDescent="0.25">
      <c r="A25" s="32"/>
      <c r="B25" s="32"/>
      <c r="C25" s="32"/>
      <c r="D25" s="749"/>
      <c r="E25" s="32"/>
      <c r="F25" s="32"/>
      <c r="G25" s="32"/>
      <c r="H25" s="32"/>
      <c r="I25" s="749"/>
      <c r="J25" s="32"/>
      <c r="K25" s="32"/>
      <c r="L25" s="32"/>
      <c r="M25" s="32"/>
      <c r="N25" s="749"/>
      <c r="O25" s="32"/>
      <c r="P25" s="32"/>
      <c r="Q25" s="32"/>
    </row>
    <row r="26" spans="1:21" x14ac:dyDescent="0.25">
      <c r="A26" s="32"/>
      <c r="B26" s="32"/>
      <c r="C26" s="32"/>
      <c r="D26" s="749"/>
      <c r="E26" s="32"/>
      <c r="F26" s="32"/>
      <c r="G26" s="32"/>
      <c r="H26" s="32"/>
      <c r="I26" s="749"/>
      <c r="J26" s="32"/>
      <c r="K26" s="32"/>
      <c r="L26" s="32"/>
      <c r="M26" s="32"/>
      <c r="N26" s="749"/>
      <c r="O26" s="32"/>
      <c r="P26" s="32"/>
      <c r="Q26" s="32"/>
    </row>
    <row r="27" spans="1:21" x14ac:dyDescent="0.25">
      <c r="A27" s="32"/>
      <c r="B27" s="32"/>
      <c r="C27" s="32"/>
      <c r="D27" s="749"/>
      <c r="E27" s="32"/>
      <c r="F27" s="32"/>
      <c r="G27" s="32"/>
      <c r="H27" s="32"/>
      <c r="I27" s="749"/>
      <c r="J27" s="32"/>
      <c r="K27" s="32"/>
      <c r="L27" s="32"/>
      <c r="M27" s="32"/>
      <c r="N27" s="749"/>
      <c r="O27" s="32"/>
      <c r="P27" s="32"/>
      <c r="Q27" s="32"/>
    </row>
    <row r="28" spans="1:21" x14ac:dyDescent="0.25">
      <c r="A28" s="32"/>
      <c r="B28" s="32"/>
      <c r="C28" s="32"/>
      <c r="D28" s="749"/>
      <c r="E28" s="32"/>
      <c r="F28" s="32"/>
      <c r="G28" s="32"/>
      <c r="H28" s="32"/>
      <c r="I28" s="749"/>
      <c r="J28" s="32"/>
      <c r="K28" s="32"/>
      <c r="L28" s="32"/>
      <c r="M28" s="32"/>
      <c r="N28" s="749"/>
      <c r="O28" s="32"/>
      <c r="P28" s="32"/>
      <c r="Q28" s="32"/>
    </row>
    <row r="29" spans="1:21" x14ac:dyDescent="0.25">
      <c r="A29" s="32"/>
      <c r="B29" s="32"/>
      <c r="C29" s="32"/>
      <c r="D29" s="749"/>
      <c r="E29" s="32"/>
      <c r="F29" s="32"/>
      <c r="G29" s="32"/>
      <c r="H29" s="32"/>
      <c r="I29" s="749"/>
      <c r="J29" s="32"/>
      <c r="K29" s="32"/>
      <c r="L29" s="32"/>
      <c r="M29" s="32"/>
      <c r="N29" s="749"/>
      <c r="O29" s="32"/>
      <c r="P29" s="32"/>
      <c r="Q29" s="32"/>
    </row>
    <row r="30" spans="1:21" x14ac:dyDescent="0.25">
      <c r="A30" s="32"/>
      <c r="B30" s="32"/>
      <c r="C30" s="32"/>
      <c r="D30" s="749"/>
      <c r="E30" s="32"/>
      <c r="F30" s="32"/>
      <c r="G30" s="32"/>
      <c r="H30" s="32"/>
      <c r="I30" s="749"/>
      <c r="J30" s="32"/>
      <c r="K30" s="32"/>
      <c r="L30" s="32"/>
      <c r="M30" s="32"/>
      <c r="N30" s="749"/>
      <c r="O30" s="32"/>
      <c r="P30" s="32"/>
      <c r="Q30" s="32"/>
    </row>
    <row r="31" spans="1:21" x14ac:dyDescent="0.25">
      <c r="A31" s="32"/>
      <c r="B31" s="32"/>
      <c r="C31" s="32"/>
      <c r="D31" s="749"/>
      <c r="E31" s="32"/>
      <c r="F31" s="32"/>
      <c r="G31" s="32"/>
      <c r="H31" s="32"/>
      <c r="I31" s="749"/>
      <c r="J31" s="32"/>
      <c r="K31" s="32"/>
      <c r="L31" s="32"/>
      <c r="M31" s="32"/>
      <c r="N31" s="749"/>
      <c r="O31" s="32"/>
      <c r="P31" s="32"/>
      <c r="Q31" s="32"/>
    </row>
    <row r="32" spans="1:21" x14ac:dyDescent="0.25">
      <c r="A32" s="32"/>
      <c r="B32" s="32"/>
      <c r="C32" s="32"/>
      <c r="D32" s="749"/>
      <c r="E32" s="32"/>
      <c r="F32" s="32"/>
      <c r="G32" s="32"/>
      <c r="H32" s="32"/>
      <c r="I32" s="749"/>
      <c r="J32" s="32"/>
      <c r="K32" s="32"/>
      <c r="L32" s="32"/>
      <c r="M32" s="32"/>
      <c r="N32" s="749"/>
      <c r="O32" s="32"/>
      <c r="P32" s="32"/>
      <c r="Q32" s="32"/>
    </row>
    <row r="33" spans="1:17" x14ac:dyDescent="0.25">
      <c r="A33" s="32"/>
      <c r="B33" s="32"/>
      <c r="C33" s="32"/>
      <c r="D33" s="749"/>
      <c r="E33" s="32"/>
      <c r="F33" s="32"/>
      <c r="G33" s="32"/>
      <c r="H33" s="32"/>
      <c r="I33" s="749"/>
      <c r="J33" s="32"/>
      <c r="K33" s="32"/>
      <c r="L33" s="32"/>
      <c r="M33" s="32"/>
      <c r="N33" s="749"/>
      <c r="O33" s="32"/>
      <c r="P33" s="32"/>
      <c r="Q33" s="32"/>
    </row>
    <row r="34" spans="1:17" x14ac:dyDescent="0.25">
      <c r="A34" s="32"/>
      <c r="B34" s="32"/>
      <c r="C34" s="32"/>
      <c r="D34" s="749"/>
      <c r="E34" s="32"/>
      <c r="F34" s="32"/>
      <c r="G34" s="32"/>
      <c r="H34" s="32"/>
      <c r="I34" s="749"/>
      <c r="J34" s="32"/>
      <c r="K34" s="32"/>
      <c r="L34" s="32"/>
      <c r="M34" s="32"/>
      <c r="N34" s="749"/>
      <c r="O34" s="32"/>
      <c r="P34" s="32"/>
      <c r="Q34" s="32"/>
    </row>
    <row r="35" spans="1:17" x14ac:dyDescent="0.25">
      <c r="A35" s="32"/>
      <c r="B35" s="32"/>
      <c r="C35" s="32"/>
      <c r="D35" s="749"/>
      <c r="E35" s="32"/>
      <c r="F35" s="32"/>
      <c r="G35" s="32"/>
      <c r="H35" s="32"/>
      <c r="I35" s="749"/>
      <c r="J35" s="32"/>
      <c r="K35" s="32"/>
      <c r="L35" s="32"/>
      <c r="M35" s="32"/>
      <c r="N35" s="749"/>
      <c r="O35" s="32"/>
      <c r="P35" s="32"/>
      <c r="Q35" s="32"/>
    </row>
    <row r="36" spans="1:17" x14ac:dyDescent="0.25">
      <c r="A36" s="32"/>
      <c r="B36" s="32"/>
      <c r="C36" s="32"/>
      <c r="D36" s="749"/>
      <c r="E36" s="32"/>
      <c r="F36" s="32"/>
      <c r="G36" s="32"/>
      <c r="H36" s="32"/>
      <c r="I36" s="749"/>
      <c r="J36" s="32"/>
      <c r="K36" s="32"/>
      <c r="L36" s="32"/>
      <c r="M36" s="32"/>
      <c r="N36" s="749"/>
      <c r="O36" s="32"/>
      <c r="P36" s="32"/>
      <c r="Q36" s="32"/>
    </row>
    <row r="37" spans="1:17" x14ac:dyDescent="0.25">
      <c r="A37" s="32"/>
      <c r="B37" s="32"/>
      <c r="C37" s="32"/>
      <c r="D37" s="749"/>
      <c r="E37" s="32"/>
      <c r="F37" s="32"/>
      <c r="G37" s="32"/>
      <c r="H37" s="32"/>
      <c r="I37" s="749"/>
      <c r="J37" s="32"/>
      <c r="K37" s="32"/>
      <c r="L37" s="32"/>
      <c r="M37" s="32"/>
      <c r="N37" s="749"/>
      <c r="O37" s="32"/>
      <c r="P37" s="32"/>
      <c r="Q37" s="32"/>
    </row>
  </sheetData>
  <mergeCells count="19">
    <mergeCell ref="B5:B11"/>
    <mergeCell ref="G5:G11"/>
    <mergeCell ref="L5:L11"/>
    <mergeCell ref="Q5:Q11"/>
    <mergeCell ref="B13:B16"/>
    <mergeCell ref="G13:G16"/>
    <mergeCell ref="H13:K13"/>
    <mergeCell ref="L13:L16"/>
    <mergeCell ref="Q13:Q16"/>
    <mergeCell ref="A1:U1"/>
    <mergeCell ref="A2:A3"/>
    <mergeCell ref="B2:B3"/>
    <mergeCell ref="C2:F2"/>
    <mergeCell ref="G2:G3"/>
    <mergeCell ref="H2:K2"/>
    <mergeCell ref="L2:L3"/>
    <mergeCell ref="M2:P2"/>
    <mergeCell ref="Q2:Q3"/>
    <mergeCell ref="R2:U2"/>
  </mergeCells>
  <pageMargins left="0.25" right="0.25" top="0.75" bottom="0.75" header="0.3" footer="0.3"/>
  <pageSetup paperSize="9" scale="67" fitToHeight="0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48"/>
  <sheetViews>
    <sheetView zoomScale="85" zoomScaleNormal="85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F7" sqref="F7"/>
    </sheetView>
  </sheetViews>
  <sheetFormatPr defaultRowHeight="15" x14ac:dyDescent="0.25"/>
  <cols>
    <col min="1" max="1" width="35.28515625" customWidth="1"/>
    <col min="2" max="2" width="9.7109375" customWidth="1"/>
    <col min="3" max="3" width="8.5703125" customWidth="1"/>
    <col min="4" max="4" width="10.85546875" customWidth="1"/>
    <col min="5" max="5" width="8.5703125" customWidth="1"/>
    <col min="6" max="6" width="12.42578125" customWidth="1"/>
    <col min="7" max="7" width="10.85546875" customWidth="1"/>
    <col min="8" max="10" width="8.5703125" customWidth="1"/>
    <col min="11" max="11" width="13.7109375" customWidth="1"/>
    <col min="12" max="12" width="8.42578125" customWidth="1"/>
    <col min="13" max="14" width="8.28515625" customWidth="1"/>
    <col min="15" max="15" width="11.28515625" customWidth="1"/>
    <col min="16" max="16" width="14" customWidth="1"/>
    <col min="17" max="17" width="0.5703125" customWidth="1"/>
    <col min="18" max="18" width="8.140625" hidden="1" customWidth="1"/>
    <col min="19" max="19" width="6.28515625" hidden="1" customWidth="1"/>
    <col min="20" max="20" width="8" hidden="1" customWidth="1"/>
    <col min="21" max="21" width="13" hidden="1" customWidth="1"/>
    <col min="22" max="22" width="2.42578125" style="30" customWidth="1"/>
    <col min="23" max="24" width="24.28515625" hidden="1" customWidth="1"/>
    <col min="25" max="25" width="24.85546875" hidden="1" customWidth="1"/>
    <col min="26" max="26" width="26.28515625" hidden="1" customWidth="1"/>
    <col min="27" max="27" width="14.7109375" customWidth="1"/>
  </cols>
  <sheetData>
    <row r="1" spans="1:26" ht="47.25" customHeight="1" x14ac:dyDescent="0.25">
      <c r="A1" s="842" t="s">
        <v>262</v>
      </c>
      <c r="B1" s="842"/>
      <c r="C1" s="842"/>
      <c r="D1" s="842"/>
      <c r="E1" s="842"/>
      <c r="F1" s="842"/>
      <c r="G1" s="842"/>
      <c r="H1" s="842"/>
      <c r="I1" s="842"/>
      <c r="J1" s="842"/>
      <c r="K1" s="842"/>
      <c r="L1" s="842"/>
      <c r="M1" s="842"/>
      <c r="N1" s="842"/>
      <c r="O1" s="842"/>
      <c r="P1" s="842"/>
      <c r="W1" s="575"/>
    </row>
    <row r="2" spans="1:26" ht="87.75" customHeight="1" x14ac:dyDescent="0.25">
      <c r="A2" s="576"/>
      <c r="B2" s="576"/>
      <c r="C2" s="978" t="s">
        <v>270</v>
      </c>
      <c r="D2" s="979"/>
      <c r="E2" s="979"/>
      <c r="F2" s="980"/>
      <c r="G2" s="577"/>
      <c r="H2" s="981" t="s">
        <v>277</v>
      </c>
      <c r="I2" s="982"/>
      <c r="J2" s="982"/>
      <c r="K2" s="983"/>
      <c r="L2" s="578"/>
      <c r="M2" s="981" t="s">
        <v>278</v>
      </c>
      <c r="N2" s="982"/>
      <c r="O2" s="982"/>
      <c r="P2" s="983"/>
      <c r="Q2" s="578"/>
      <c r="R2" s="981" t="s">
        <v>279</v>
      </c>
      <c r="S2" s="982"/>
      <c r="T2" s="982"/>
      <c r="U2" s="983"/>
      <c r="W2" s="575"/>
    </row>
    <row r="3" spans="1:26" ht="46.5" customHeight="1" x14ac:dyDescent="0.25">
      <c r="A3" s="576"/>
      <c r="B3" s="579" t="s">
        <v>64</v>
      </c>
      <c r="C3" s="580" t="s">
        <v>202</v>
      </c>
      <c r="D3" s="580" t="s">
        <v>263</v>
      </c>
      <c r="E3" s="580" t="s">
        <v>264</v>
      </c>
      <c r="F3" s="580" t="s">
        <v>69</v>
      </c>
      <c r="G3" s="577" t="s">
        <v>64</v>
      </c>
      <c r="H3" s="580" t="s">
        <v>202</v>
      </c>
      <c r="I3" s="578" t="s">
        <v>67</v>
      </c>
      <c r="J3" s="578" t="s">
        <v>264</v>
      </c>
      <c r="K3" s="578" t="s">
        <v>69</v>
      </c>
      <c r="L3" s="577" t="s">
        <v>64</v>
      </c>
      <c r="M3" s="580" t="s">
        <v>202</v>
      </c>
      <c r="N3" s="578" t="s">
        <v>67</v>
      </c>
      <c r="O3" s="578" t="s">
        <v>264</v>
      </c>
      <c r="P3" s="578" t="s">
        <v>69</v>
      </c>
      <c r="Q3" s="577" t="s">
        <v>64</v>
      </c>
      <c r="R3" s="580" t="s">
        <v>202</v>
      </c>
      <c r="S3" s="578" t="s">
        <v>67</v>
      </c>
      <c r="T3" s="578" t="s">
        <v>264</v>
      </c>
      <c r="U3" s="578" t="s">
        <v>69</v>
      </c>
      <c r="W3" s="575"/>
    </row>
    <row r="4" spans="1:26" ht="4.5" customHeight="1" thickBot="1" x14ac:dyDescent="0.3">
      <c r="A4" s="581"/>
      <c r="B4" s="582"/>
      <c r="C4" s="583"/>
      <c r="D4" s="583"/>
      <c r="E4" s="583"/>
      <c r="F4" s="583"/>
      <c r="G4" s="584"/>
      <c r="H4" s="583"/>
      <c r="I4" s="585"/>
      <c r="J4" s="585"/>
      <c r="K4" s="585"/>
      <c r="L4" s="584"/>
      <c r="M4" s="583"/>
      <c r="N4" s="585"/>
      <c r="O4" s="585"/>
      <c r="P4" s="585"/>
      <c r="Q4" s="584"/>
      <c r="R4" s="583"/>
      <c r="S4" s="585"/>
      <c r="T4" s="585"/>
      <c r="U4" s="585"/>
      <c r="W4" s="575"/>
    </row>
    <row r="5" spans="1:26" s="779" customFormat="1" x14ac:dyDescent="0.25">
      <c r="A5" s="807" t="s">
        <v>71</v>
      </c>
      <c r="B5" s="990">
        <v>10500</v>
      </c>
      <c r="C5" s="808"/>
      <c r="D5" s="809"/>
      <c r="E5" s="809"/>
      <c r="F5" s="773">
        <f>F6+F7+F8</f>
        <v>216143.99999999997</v>
      </c>
      <c r="G5" s="990">
        <v>300</v>
      </c>
      <c r="H5" s="810"/>
      <c r="I5" s="798"/>
      <c r="J5" s="798"/>
      <c r="K5" s="773">
        <f>K6+K7+K8</f>
        <v>216143.99999999997</v>
      </c>
      <c r="L5" s="990">
        <v>30</v>
      </c>
      <c r="M5" s="810"/>
      <c r="N5" s="798"/>
      <c r="O5" s="798"/>
      <c r="P5" s="776">
        <f>P6+P7+P8</f>
        <v>216144.00000000003</v>
      </c>
      <c r="Q5" s="990">
        <v>640</v>
      </c>
      <c r="R5" s="810"/>
      <c r="S5" s="798"/>
      <c r="T5" s="798"/>
      <c r="U5" s="776">
        <f>U6+U7+U8</f>
        <v>162108</v>
      </c>
      <c r="V5" s="777"/>
      <c r="W5" s="777">
        <f>F5+K5+P5+U5</f>
        <v>810540</v>
      </c>
      <c r="Z5" s="777">
        <f>F5+K5+P5</f>
        <v>648432</v>
      </c>
    </row>
    <row r="6" spans="1:26" s="769" customFormat="1" x14ac:dyDescent="0.25">
      <c r="A6" s="811" t="s">
        <v>72</v>
      </c>
      <c r="B6" s="991"/>
      <c r="C6" s="812">
        <f>E6/5731.1</f>
        <v>1.8192690231216863E-3</v>
      </c>
      <c r="D6" s="813" t="s">
        <v>74</v>
      </c>
      <c r="E6" s="814">
        <f>F6/B5</f>
        <v>10.426412698412697</v>
      </c>
      <c r="F6" s="783">
        <f>V6/3</f>
        <v>109477.33333333333</v>
      </c>
      <c r="G6" s="991"/>
      <c r="H6" s="784">
        <f>J6/5731.1</f>
        <v>6.3674415809259019E-2</v>
      </c>
      <c r="I6" s="785" t="s">
        <v>74</v>
      </c>
      <c r="J6" s="785">
        <f>K6/G5</f>
        <v>364.92444444444442</v>
      </c>
      <c r="K6" s="783">
        <f>V6/3</f>
        <v>109477.33333333333</v>
      </c>
      <c r="L6" s="991"/>
      <c r="M6" s="784">
        <f>O6/5731.1</f>
        <v>0.63674415809259044</v>
      </c>
      <c r="N6" s="785" t="s">
        <v>74</v>
      </c>
      <c r="O6" s="785">
        <f>P6/L5</f>
        <v>3649.2444444444454</v>
      </c>
      <c r="P6" s="786">
        <f>V6-F6-K6</f>
        <v>109477.33333333336</v>
      </c>
      <c r="Q6" s="991"/>
      <c r="R6" s="815">
        <f>T6/5731.1</f>
        <v>2.2385536807942627E-2</v>
      </c>
      <c r="S6" s="785" t="s">
        <v>74</v>
      </c>
      <c r="T6" s="785">
        <f>U6/Q5</f>
        <v>128.29374999999999</v>
      </c>
      <c r="U6" s="786">
        <v>82108</v>
      </c>
      <c r="V6" s="778">
        <v>328432</v>
      </c>
      <c r="W6" s="787">
        <f>F6+K6+P6+U6</f>
        <v>410540</v>
      </c>
      <c r="X6" s="778">
        <f>F6+K6+P6</f>
        <v>328432</v>
      </c>
      <c r="Y6" s="778">
        <f>V6-X6</f>
        <v>0</v>
      </c>
    </row>
    <row r="7" spans="1:26" s="769" customFormat="1" ht="25.5" x14ac:dyDescent="0.25">
      <c r="A7" s="811" t="s">
        <v>75</v>
      </c>
      <c r="B7" s="991"/>
      <c r="C7" s="812">
        <f>E7/7.76</f>
        <v>1.2272950417280315</v>
      </c>
      <c r="D7" s="813" t="s">
        <v>265</v>
      </c>
      <c r="E7" s="814">
        <f>F7/B5</f>
        <v>9.5238095238095237</v>
      </c>
      <c r="F7" s="783">
        <f t="shared" ref="F7:F8" si="0">V7/3</f>
        <v>100000</v>
      </c>
      <c r="G7" s="991"/>
      <c r="H7" s="784">
        <f>J7/7.76</f>
        <v>42.955326460481096</v>
      </c>
      <c r="I7" s="813" t="s">
        <v>265</v>
      </c>
      <c r="J7" s="785">
        <f>K7/G5</f>
        <v>333.33333333333331</v>
      </c>
      <c r="K7" s="783">
        <f t="shared" ref="K7:K8" si="1">V7/3</f>
        <v>100000</v>
      </c>
      <c r="L7" s="991"/>
      <c r="M7" s="784">
        <f>O7/7.76</f>
        <v>429.55326460481103</v>
      </c>
      <c r="N7" s="813" t="s">
        <v>265</v>
      </c>
      <c r="O7" s="785">
        <f>P7/L5</f>
        <v>3333.3333333333335</v>
      </c>
      <c r="P7" s="786">
        <f t="shared" ref="P7:P8" si="2">V7-F7-K7</f>
        <v>100000</v>
      </c>
      <c r="Q7" s="991"/>
      <c r="R7" s="784">
        <f>T7/7.76</f>
        <v>15.101481958762887</v>
      </c>
      <c r="S7" s="813" t="s">
        <v>265</v>
      </c>
      <c r="T7" s="785">
        <f>U7/Q5</f>
        <v>117.1875</v>
      </c>
      <c r="U7" s="786">
        <v>75000</v>
      </c>
      <c r="V7" s="778">
        <v>300000</v>
      </c>
      <c r="W7" s="787">
        <f t="shared" ref="W7:W8" si="3">F7+K7+P7+U7</f>
        <v>375000</v>
      </c>
      <c r="X7" s="778">
        <f t="shared" ref="X7:X24" si="4">F7+K7+P7</f>
        <v>300000</v>
      </c>
      <c r="Y7" s="778">
        <f t="shared" ref="Y7:Y24" si="5">V7-X7</f>
        <v>0</v>
      </c>
    </row>
    <row r="8" spans="1:26" s="769" customFormat="1" ht="15.75" thickBot="1" x14ac:dyDescent="0.3">
      <c r="A8" s="816" t="s">
        <v>78</v>
      </c>
      <c r="B8" s="992"/>
      <c r="C8" s="817">
        <f>E8/80.07</f>
        <v>7.9295695631401899E-3</v>
      </c>
      <c r="D8" s="818" t="s">
        <v>74</v>
      </c>
      <c r="E8" s="819">
        <f>F8/B5</f>
        <v>0.634920634920635</v>
      </c>
      <c r="F8" s="791">
        <f t="shared" si="0"/>
        <v>6666.666666666667</v>
      </c>
      <c r="G8" s="992"/>
      <c r="H8" s="792">
        <f>J8/80.07</f>
        <v>0.27753493470990664</v>
      </c>
      <c r="I8" s="793" t="s">
        <v>74</v>
      </c>
      <c r="J8" s="793">
        <f>K8/G5</f>
        <v>22.222222222222225</v>
      </c>
      <c r="K8" s="791">
        <f t="shared" si="1"/>
        <v>6666.666666666667</v>
      </c>
      <c r="L8" s="992"/>
      <c r="M8" s="792">
        <f>O8/80.07</f>
        <v>2.7753493470990658</v>
      </c>
      <c r="N8" s="793" t="s">
        <v>74</v>
      </c>
      <c r="O8" s="793">
        <f>P8/L5</f>
        <v>222.22222222222217</v>
      </c>
      <c r="P8" s="794">
        <f t="shared" si="2"/>
        <v>6666.6666666666652</v>
      </c>
      <c r="Q8" s="992"/>
      <c r="R8" s="820">
        <f>T8/80.07</f>
        <v>9.7570875483951547E-2</v>
      </c>
      <c r="S8" s="793" t="s">
        <v>74</v>
      </c>
      <c r="T8" s="793">
        <f>U8/Q5</f>
        <v>7.8125</v>
      </c>
      <c r="U8" s="794">
        <v>5000</v>
      </c>
      <c r="V8" s="778">
        <v>20000</v>
      </c>
      <c r="W8" s="787">
        <f t="shared" si="3"/>
        <v>25000</v>
      </c>
      <c r="X8" s="778">
        <f t="shared" si="4"/>
        <v>20000</v>
      </c>
      <c r="Y8" s="778">
        <f t="shared" si="5"/>
        <v>0</v>
      </c>
    </row>
    <row r="9" spans="1:26" ht="5.25" customHeight="1" thickBot="1" x14ac:dyDescent="0.3">
      <c r="A9" s="596"/>
      <c r="B9" s="597"/>
      <c r="C9" s="596"/>
      <c r="D9" s="596"/>
      <c r="E9" s="598"/>
      <c r="F9" s="599"/>
      <c r="G9" s="600"/>
      <c r="H9" s="599"/>
      <c r="I9" s="599"/>
      <c r="J9" s="599"/>
      <c r="K9" s="601"/>
      <c r="L9" s="602"/>
      <c r="M9" s="601"/>
      <c r="N9" s="601"/>
      <c r="O9" s="601"/>
      <c r="P9" s="601"/>
      <c r="Q9" s="602"/>
      <c r="R9" s="601"/>
      <c r="S9" s="601"/>
      <c r="T9" s="601"/>
      <c r="U9" s="601"/>
      <c r="W9" s="575"/>
      <c r="X9" s="30"/>
      <c r="Y9" s="30"/>
    </row>
    <row r="10" spans="1:26" s="685" customFormat="1" ht="38.25" x14ac:dyDescent="0.25">
      <c r="A10" s="687" t="s">
        <v>80</v>
      </c>
      <c r="B10" s="984">
        <v>10500</v>
      </c>
      <c r="C10" s="688"/>
      <c r="D10" s="689"/>
      <c r="E10" s="690"/>
      <c r="F10" s="691">
        <f>F11+F12+F13+F14+F15+F16</f>
        <v>201333.33333333334</v>
      </c>
      <c r="G10" s="984">
        <v>300</v>
      </c>
      <c r="H10" s="692"/>
      <c r="I10" s="683"/>
      <c r="J10" s="683"/>
      <c r="K10" s="586">
        <f>K11+K12+K13+K14+K15+K16</f>
        <v>201333.33333333334</v>
      </c>
      <c r="L10" s="987">
        <v>30</v>
      </c>
      <c r="M10" s="693"/>
      <c r="N10" s="684"/>
      <c r="O10" s="684"/>
      <c r="P10" s="586">
        <f>P11+P12+P13+P14+P15+P16</f>
        <v>201333.33333333331</v>
      </c>
      <c r="Q10" s="987">
        <v>640</v>
      </c>
      <c r="R10" s="693"/>
      <c r="S10" s="684"/>
      <c r="T10" s="684"/>
      <c r="U10" s="586">
        <f>U11+U12+U13+U14+U15+U16</f>
        <v>151000</v>
      </c>
      <c r="V10" s="686"/>
      <c r="W10" s="686">
        <f>F10+K10+P10+U10</f>
        <v>755000</v>
      </c>
      <c r="X10" s="30"/>
      <c r="Y10" s="30"/>
      <c r="Z10" s="686">
        <f>F10+K10+P10</f>
        <v>604000</v>
      </c>
    </row>
    <row r="11" spans="1:26" ht="76.5" x14ac:dyDescent="0.25">
      <c r="A11" s="603" t="s">
        <v>81</v>
      </c>
      <c r="B11" s="985"/>
      <c r="C11" s="761">
        <f>1/B10</f>
        <v>9.5238095238095241E-5</v>
      </c>
      <c r="D11" s="605" t="s">
        <v>82</v>
      </c>
      <c r="E11" s="588">
        <f>F11/B10</f>
        <v>2.2857142857142856</v>
      </c>
      <c r="F11" s="606">
        <f>V11/3</f>
        <v>24000</v>
      </c>
      <c r="G11" s="985"/>
      <c r="H11" s="607">
        <f t="shared" ref="H11:H16" si="6">1/171</f>
        <v>5.8479532163742687E-3</v>
      </c>
      <c r="I11" s="605" t="s">
        <v>82</v>
      </c>
      <c r="J11" s="589">
        <f>K11/G10</f>
        <v>80</v>
      </c>
      <c r="K11" s="591">
        <f>V11/3</f>
        <v>24000</v>
      </c>
      <c r="L11" s="988"/>
      <c r="M11" s="608">
        <f>1/L10</f>
        <v>3.3333333333333333E-2</v>
      </c>
      <c r="N11" s="605" t="s">
        <v>82</v>
      </c>
      <c r="O11" s="590">
        <f>P11/L10</f>
        <v>800</v>
      </c>
      <c r="P11" s="591">
        <f>V11-F11-K11</f>
        <v>24000</v>
      </c>
      <c r="Q11" s="988"/>
      <c r="R11" s="762">
        <f t="shared" ref="R11:R16" si="7">1/640</f>
        <v>1.5625000000000001E-3</v>
      </c>
      <c r="S11" s="605" t="s">
        <v>82</v>
      </c>
      <c r="T11" s="590">
        <f>U11/Q10</f>
        <v>28.125</v>
      </c>
      <c r="U11" s="591">
        <v>18000</v>
      </c>
      <c r="V11" s="30">
        <v>72000</v>
      </c>
      <c r="W11" s="587"/>
      <c r="X11" s="30">
        <f t="shared" si="4"/>
        <v>72000</v>
      </c>
      <c r="Y11" s="30">
        <f t="shared" si="5"/>
        <v>0</v>
      </c>
    </row>
    <row r="12" spans="1:26" ht="25.5" x14ac:dyDescent="0.25">
      <c r="A12" s="603" t="s">
        <v>208</v>
      </c>
      <c r="B12" s="985"/>
      <c r="C12" s="761">
        <f>1/B10</f>
        <v>9.5238095238095241E-5</v>
      </c>
      <c r="D12" s="605" t="s">
        <v>82</v>
      </c>
      <c r="E12" s="588">
        <f>F12/B10</f>
        <v>1.0158730158730158</v>
      </c>
      <c r="F12" s="606">
        <f t="shared" ref="F12:F16" si="8">V12/3</f>
        <v>10666.666666666666</v>
      </c>
      <c r="G12" s="985"/>
      <c r="H12" s="607">
        <f t="shared" si="6"/>
        <v>5.8479532163742687E-3</v>
      </c>
      <c r="I12" s="605" t="s">
        <v>82</v>
      </c>
      <c r="J12" s="589">
        <f>K12/G10</f>
        <v>35.55555555555555</v>
      </c>
      <c r="K12" s="591">
        <f t="shared" ref="K12:K16" si="9">V12/3</f>
        <v>10666.666666666666</v>
      </c>
      <c r="L12" s="988"/>
      <c r="M12" s="608">
        <f>1/L10</f>
        <v>3.3333333333333333E-2</v>
      </c>
      <c r="N12" s="605" t="s">
        <v>82</v>
      </c>
      <c r="O12" s="590">
        <f>P12/L10</f>
        <v>355.55555555555566</v>
      </c>
      <c r="P12" s="591">
        <f t="shared" ref="P12:P16" si="10">V12-F12-K12</f>
        <v>10666.66666666667</v>
      </c>
      <c r="Q12" s="988"/>
      <c r="R12" s="762">
        <f t="shared" si="7"/>
        <v>1.5625000000000001E-3</v>
      </c>
      <c r="S12" s="605" t="s">
        <v>82</v>
      </c>
      <c r="T12" s="590">
        <f>U12/Q10</f>
        <v>12.5</v>
      </c>
      <c r="U12" s="591">
        <v>8000</v>
      </c>
      <c r="V12" s="30">
        <v>32000</v>
      </c>
      <c r="W12" s="587"/>
      <c r="X12" s="30">
        <f t="shared" si="4"/>
        <v>32000</v>
      </c>
      <c r="Y12" s="30">
        <f t="shared" si="5"/>
        <v>0</v>
      </c>
    </row>
    <row r="13" spans="1:26" ht="51" x14ac:dyDescent="0.25">
      <c r="A13" s="603" t="s">
        <v>209</v>
      </c>
      <c r="B13" s="985"/>
      <c r="C13" s="761">
        <f>1/B10</f>
        <v>9.5238095238095241E-5</v>
      </c>
      <c r="D13" s="605" t="s">
        <v>82</v>
      </c>
      <c r="E13" s="588">
        <f>F13/B10</f>
        <v>3.1746031746031749</v>
      </c>
      <c r="F13" s="606">
        <f t="shared" si="8"/>
        <v>33333.333333333336</v>
      </c>
      <c r="G13" s="985"/>
      <c r="H13" s="607">
        <f t="shared" si="6"/>
        <v>5.8479532163742687E-3</v>
      </c>
      <c r="I13" s="605" t="s">
        <v>82</v>
      </c>
      <c r="J13" s="589">
        <f>K13/G10</f>
        <v>111.11111111111111</v>
      </c>
      <c r="K13" s="591">
        <f t="shared" si="9"/>
        <v>33333.333333333336</v>
      </c>
      <c r="L13" s="988"/>
      <c r="M13" s="608">
        <f>1/L10</f>
        <v>3.3333333333333333E-2</v>
      </c>
      <c r="N13" s="605" t="s">
        <v>82</v>
      </c>
      <c r="O13" s="590">
        <f>P13/L10</f>
        <v>1111.1111111111106</v>
      </c>
      <c r="P13" s="591">
        <f t="shared" si="10"/>
        <v>33333.333333333321</v>
      </c>
      <c r="Q13" s="988"/>
      <c r="R13" s="762">
        <f t="shared" si="7"/>
        <v>1.5625000000000001E-3</v>
      </c>
      <c r="S13" s="605" t="s">
        <v>82</v>
      </c>
      <c r="T13" s="590">
        <f>U13/Q10</f>
        <v>39.0625</v>
      </c>
      <c r="U13" s="591">
        <v>25000</v>
      </c>
      <c r="V13" s="30">
        <v>100000</v>
      </c>
      <c r="W13" s="587"/>
      <c r="X13" s="30">
        <f t="shared" si="4"/>
        <v>100000</v>
      </c>
      <c r="Y13" s="30">
        <f t="shared" si="5"/>
        <v>0</v>
      </c>
    </row>
    <row r="14" spans="1:26" ht="38.25" x14ac:dyDescent="0.25">
      <c r="A14" s="603" t="s">
        <v>210</v>
      </c>
      <c r="B14" s="985"/>
      <c r="C14" s="761">
        <f>1/B10</f>
        <v>9.5238095238095241E-5</v>
      </c>
      <c r="D14" s="605" t="s">
        <v>82</v>
      </c>
      <c r="E14" s="588">
        <f>F14/B10</f>
        <v>2.53968253968254</v>
      </c>
      <c r="F14" s="606">
        <f t="shared" si="8"/>
        <v>26666.666666666668</v>
      </c>
      <c r="G14" s="985"/>
      <c r="H14" s="607">
        <f t="shared" si="6"/>
        <v>5.8479532163742687E-3</v>
      </c>
      <c r="I14" s="605" t="s">
        <v>82</v>
      </c>
      <c r="J14" s="589">
        <f>K14/G10</f>
        <v>88.8888888888889</v>
      </c>
      <c r="K14" s="591">
        <f t="shared" si="9"/>
        <v>26666.666666666668</v>
      </c>
      <c r="L14" s="988"/>
      <c r="M14" s="608">
        <f>1/L10</f>
        <v>3.3333333333333333E-2</v>
      </c>
      <c r="N14" s="605" t="s">
        <v>82</v>
      </c>
      <c r="O14" s="590">
        <f>P14/L10</f>
        <v>888.88888888888869</v>
      </c>
      <c r="P14" s="591">
        <f t="shared" si="10"/>
        <v>26666.666666666661</v>
      </c>
      <c r="Q14" s="988"/>
      <c r="R14" s="762">
        <f t="shared" si="7"/>
        <v>1.5625000000000001E-3</v>
      </c>
      <c r="S14" s="605" t="s">
        <v>82</v>
      </c>
      <c r="T14" s="590">
        <f>U14/Q10</f>
        <v>31.25</v>
      </c>
      <c r="U14" s="591">
        <v>20000</v>
      </c>
      <c r="V14" s="30">
        <v>80000</v>
      </c>
      <c r="W14" s="587"/>
      <c r="X14" s="30">
        <f t="shared" si="4"/>
        <v>80000</v>
      </c>
      <c r="Y14" s="30">
        <f t="shared" si="5"/>
        <v>0</v>
      </c>
    </row>
    <row r="15" spans="1:26" ht="25.5" x14ac:dyDescent="0.25">
      <c r="A15" s="603" t="s">
        <v>85</v>
      </c>
      <c r="B15" s="985"/>
      <c r="C15" s="761">
        <f>1/B10</f>
        <v>9.5238095238095241E-5</v>
      </c>
      <c r="D15" s="605" t="s">
        <v>82</v>
      </c>
      <c r="E15" s="588">
        <f>F15/B10</f>
        <v>2.53968253968254</v>
      </c>
      <c r="F15" s="606">
        <f t="shared" si="8"/>
        <v>26666.666666666668</v>
      </c>
      <c r="G15" s="985"/>
      <c r="H15" s="607">
        <f t="shared" si="6"/>
        <v>5.8479532163742687E-3</v>
      </c>
      <c r="I15" s="605" t="s">
        <v>82</v>
      </c>
      <c r="J15" s="589">
        <f>K15/G10</f>
        <v>88.8888888888889</v>
      </c>
      <c r="K15" s="591">
        <f t="shared" si="9"/>
        <v>26666.666666666668</v>
      </c>
      <c r="L15" s="988"/>
      <c r="M15" s="608">
        <f>1/L10</f>
        <v>3.3333333333333333E-2</v>
      </c>
      <c r="N15" s="605" t="s">
        <v>82</v>
      </c>
      <c r="O15" s="590">
        <f>P15/L10</f>
        <v>888.88888888888869</v>
      </c>
      <c r="P15" s="591">
        <f t="shared" si="10"/>
        <v>26666.666666666661</v>
      </c>
      <c r="Q15" s="988"/>
      <c r="R15" s="762">
        <f t="shared" si="7"/>
        <v>1.5625000000000001E-3</v>
      </c>
      <c r="S15" s="605" t="s">
        <v>82</v>
      </c>
      <c r="T15" s="590">
        <f>U15/Q10</f>
        <v>31.25</v>
      </c>
      <c r="U15" s="591">
        <v>20000</v>
      </c>
      <c r="V15" s="30">
        <v>80000</v>
      </c>
      <c r="W15" s="587"/>
      <c r="X15" s="30">
        <f t="shared" si="4"/>
        <v>80000</v>
      </c>
      <c r="Y15" s="30">
        <f t="shared" si="5"/>
        <v>0</v>
      </c>
    </row>
    <row r="16" spans="1:26" ht="26.25" thickBot="1" x14ac:dyDescent="0.3">
      <c r="A16" s="609" t="s">
        <v>266</v>
      </c>
      <c r="B16" s="986"/>
      <c r="C16" s="763">
        <f>1/B10</f>
        <v>9.5238095238095241E-5</v>
      </c>
      <c r="D16" s="611" t="s">
        <v>82</v>
      </c>
      <c r="E16" s="592">
        <f>F16/B10</f>
        <v>7.6190476190476186</v>
      </c>
      <c r="F16" s="612">
        <f t="shared" si="8"/>
        <v>80000</v>
      </c>
      <c r="G16" s="986"/>
      <c r="H16" s="613">
        <f t="shared" si="6"/>
        <v>5.8479532163742687E-3</v>
      </c>
      <c r="I16" s="611" t="s">
        <v>82</v>
      </c>
      <c r="J16" s="593">
        <f>K16/G10</f>
        <v>266.66666666666669</v>
      </c>
      <c r="K16" s="595">
        <f t="shared" si="9"/>
        <v>80000</v>
      </c>
      <c r="L16" s="989"/>
      <c r="M16" s="614">
        <f>1/L10</f>
        <v>3.3333333333333333E-2</v>
      </c>
      <c r="N16" s="611" t="s">
        <v>82</v>
      </c>
      <c r="O16" s="594">
        <f>P16/L10</f>
        <v>2666.6666666666665</v>
      </c>
      <c r="P16" s="595">
        <f t="shared" si="10"/>
        <v>80000</v>
      </c>
      <c r="Q16" s="989"/>
      <c r="R16" s="764">
        <f t="shared" si="7"/>
        <v>1.5625000000000001E-3</v>
      </c>
      <c r="S16" s="611"/>
      <c r="T16" s="594">
        <f>U16/Q10</f>
        <v>93.75</v>
      </c>
      <c r="U16" s="595">
        <v>60000</v>
      </c>
      <c r="V16" s="30">
        <v>240000</v>
      </c>
      <c r="W16" s="587"/>
      <c r="X16" s="30">
        <f t="shared" si="4"/>
        <v>240000</v>
      </c>
      <c r="Y16" s="30">
        <f t="shared" si="5"/>
        <v>0</v>
      </c>
    </row>
    <row r="17" spans="1:26" ht="5.25" customHeight="1" thickBot="1" x14ac:dyDescent="0.3">
      <c r="A17" s="615"/>
      <c r="B17" s="616"/>
      <c r="C17" s="617"/>
      <c r="D17" s="596"/>
      <c r="E17" s="598"/>
      <c r="F17" s="599"/>
      <c r="G17" s="600"/>
      <c r="H17" s="599"/>
      <c r="I17" s="599"/>
      <c r="J17" s="599"/>
      <c r="K17" s="601"/>
      <c r="L17" s="602"/>
      <c r="M17" s="601"/>
      <c r="N17" s="601"/>
      <c r="O17" s="601"/>
      <c r="P17" s="601"/>
      <c r="Q17" s="602"/>
      <c r="R17" s="601"/>
      <c r="S17" s="601"/>
      <c r="T17" s="601"/>
      <c r="U17" s="601"/>
      <c r="W17" s="587"/>
      <c r="X17" s="30">
        <f t="shared" si="4"/>
        <v>0</v>
      </c>
      <c r="Y17" s="30">
        <f t="shared" si="5"/>
        <v>0</v>
      </c>
    </row>
    <row r="18" spans="1:26" s="51" customFormat="1" ht="25.5" x14ac:dyDescent="0.25">
      <c r="A18" s="618" t="s">
        <v>88</v>
      </c>
      <c r="B18" s="866">
        <v>10500</v>
      </c>
      <c r="C18" s="74"/>
      <c r="D18" s="619"/>
      <c r="E18" s="620"/>
      <c r="F18" s="621">
        <v>0</v>
      </c>
      <c r="G18" s="866">
        <v>300</v>
      </c>
      <c r="H18" s="622"/>
      <c r="I18" s="623"/>
      <c r="J18" s="623"/>
      <c r="K18" s="624">
        <v>0</v>
      </c>
      <c r="L18" s="866">
        <v>30</v>
      </c>
      <c r="M18" s="622"/>
      <c r="N18" s="623"/>
      <c r="O18" s="623"/>
      <c r="P18" s="625">
        <v>0</v>
      </c>
      <c r="Q18" s="866">
        <v>640</v>
      </c>
      <c r="R18" s="622"/>
      <c r="S18" s="623"/>
      <c r="T18" s="623"/>
      <c r="U18" s="625">
        <v>0</v>
      </c>
      <c r="V18" s="69"/>
      <c r="W18" s="133"/>
      <c r="X18" s="30">
        <f t="shared" si="4"/>
        <v>0</v>
      </c>
      <c r="Y18" s="30">
        <f t="shared" si="5"/>
        <v>0</v>
      </c>
    </row>
    <row r="19" spans="1:26" s="51" customFormat="1" x14ac:dyDescent="0.25">
      <c r="A19" s="52" t="s">
        <v>89</v>
      </c>
      <c r="B19" s="867"/>
      <c r="C19" s="53"/>
      <c r="D19" s="626"/>
      <c r="E19" s="321"/>
      <c r="F19" s="627"/>
      <c r="G19" s="867"/>
      <c r="H19" s="628"/>
      <c r="I19" s="629"/>
      <c r="J19" s="629"/>
      <c r="K19" s="627"/>
      <c r="L19" s="867"/>
      <c r="M19" s="628"/>
      <c r="N19" s="629"/>
      <c r="O19" s="629"/>
      <c r="P19" s="630"/>
      <c r="Q19" s="867"/>
      <c r="R19" s="628"/>
      <c r="S19" s="629"/>
      <c r="T19" s="629"/>
      <c r="U19" s="630"/>
      <c r="V19" s="69"/>
      <c r="W19" s="133"/>
      <c r="X19" s="30">
        <f t="shared" si="4"/>
        <v>0</v>
      </c>
      <c r="Y19" s="30">
        <f t="shared" si="5"/>
        <v>0</v>
      </c>
    </row>
    <row r="20" spans="1:26" s="51" customFormat="1" ht="26.25" thickBot="1" x14ac:dyDescent="0.3">
      <c r="A20" s="58" t="s">
        <v>90</v>
      </c>
      <c r="B20" s="868"/>
      <c r="C20" s="59"/>
      <c r="D20" s="631"/>
      <c r="E20" s="632"/>
      <c r="F20" s="633"/>
      <c r="G20" s="868"/>
      <c r="H20" s="634"/>
      <c r="I20" s="635"/>
      <c r="J20" s="635"/>
      <c r="K20" s="633"/>
      <c r="L20" s="868"/>
      <c r="M20" s="634"/>
      <c r="N20" s="635"/>
      <c r="O20" s="635"/>
      <c r="P20" s="636"/>
      <c r="Q20" s="868"/>
      <c r="R20" s="634"/>
      <c r="S20" s="635"/>
      <c r="T20" s="635"/>
      <c r="U20" s="636"/>
      <c r="V20" s="69"/>
      <c r="W20" s="133"/>
      <c r="X20" s="30">
        <f t="shared" si="4"/>
        <v>0</v>
      </c>
      <c r="Y20" s="30">
        <f t="shared" si="5"/>
        <v>0</v>
      </c>
    </row>
    <row r="21" spans="1:26" s="51" customFormat="1" ht="4.5" customHeight="1" thickBot="1" x14ac:dyDescent="0.3">
      <c r="A21" s="637"/>
      <c r="B21" s="63"/>
      <c r="C21" s="637"/>
      <c r="D21" s="637"/>
      <c r="E21" s="638"/>
      <c r="F21" s="639"/>
      <c r="G21" s="640"/>
      <c r="H21" s="639"/>
      <c r="I21" s="639"/>
      <c r="J21" s="639"/>
      <c r="K21" s="639"/>
      <c r="L21" s="640"/>
      <c r="M21" s="639"/>
      <c r="N21" s="639"/>
      <c r="O21" s="639"/>
      <c r="P21" s="639"/>
      <c r="Q21" s="640"/>
      <c r="R21" s="639"/>
      <c r="S21" s="639"/>
      <c r="T21" s="639"/>
      <c r="U21" s="639"/>
      <c r="V21" s="69"/>
      <c r="W21" s="133"/>
      <c r="X21" s="30">
        <f t="shared" si="4"/>
        <v>0</v>
      </c>
      <c r="Y21" s="30">
        <f t="shared" si="5"/>
        <v>0</v>
      </c>
    </row>
    <row r="22" spans="1:26" s="779" customFormat="1" ht="15" customHeight="1" x14ac:dyDescent="0.25">
      <c r="A22" s="795" t="s">
        <v>91</v>
      </c>
      <c r="B22" s="993">
        <v>10500</v>
      </c>
      <c r="C22" s="796"/>
      <c r="D22" s="796"/>
      <c r="E22" s="797"/>
      <c r="F22" s="798">
        <f>F23+F24</f>
        <v>76666.666666666657</v>
      </c>
      <c r="G22" s="993">
        <v>300</v>
      </c>
      <c r="H22" s="775"/>
      <c r="I22" s="775"/>
      <c r="J22" s="775"/>
      <c r="K22" s="798">
        <f>K23+K24</f>
        <v>76666.666666666657</v>
      </c>
      <c r="L22" s="993">
        <v>30</v>
      </c>
      <c r="M22" s="775"/>
      <c r="N22" s="775"/>
      <c r="O22" s="775"/>
      <c r="P22" s="776">
        <f>P23+P24</f>
        <v>76666.666666666686</v>
      </c>
      <c r="Q22" s="993">
        <v>640</v>
      </c>
      <c r="R22" s="775"/>
      <c r="S22" s="775"/>
      <c r="T22" s="775"/>
      <c r="U22" s="776">
        <f>U23+U24</f>
        <v>57500</v>
      </c>
      <c r="V22" s="777"/>
      <c r="W22" s="777">
        <f t="shared" ref="W22:W40" si="11">F22+K22+P22+U22</f>
        <v>287500</v>
      </c>
      <c r="X22" s="778"/>
      <c r="Y22" s="778"/>
      <c r="Z22" s="777">
        <f>F22+K22+P22</f>
        <v>230000</v>
      </c>
    </row>
    <row r="23" spans="1:26" s="769" customFormat="1" ht="15" customHeight="1" x14ac:dyDescent="0.25">
      <c r="A23" s="799" t="s">
        <v>95</v>
      </c>
      <c r="B23" s="994"/>
      <c r="C23" s="800">
        <f>E23/1.2</f>
        <v>0.66137566137566151</v>
      </c>
      <c r="D23" s="801" t="s">
        <v>96</v>
      </c>
      <c r="E23" s="802">
        <f>F23/B22</f>
        <v>0.79365079365079372</v>
      </c>
      <c r="F23" s="785">
        <f>V23/3</f>
        <v>8333.3333333333339</v>
      </c>
      <c r="G23" s="994"/>
      <c r="H23" s="785">
        <f>J23/1.2</f>
        <v>23.148148148148149</v>
      </c>
      <c r="I23" s="785" t="s">
        <v>96</v>
      </c>
      <c r="J23" s="785">
        <f>K23/G22</f>
        <v>27.777777777777779</v>
      </c>
      <c r="K23" s="785">
        <f>V23/3</f>
        <v>8333.3333333333339</v>
      </c>
      <c r="L23" s="994"/>
      <c r="M23" s="785">
        <f>O23/1.2</f>
        <v>231.48148148148138</v>
      </c>
      <c r="N23" s="785" t="s">
        <v>96</v>
      </c>
      <c r="O23" s="785">
        <f>P23/L22</f>
        <v>277.77777777777766</v>
      </c>
      <c r="P23" s="786">
        <f>V23-F23-K23</f>
        <v>8333.3333333333303</v>
      </c>
      <c r="Q23" s="994"/>
      <c r="R23" s="785">
        <f>T23/1.2</f>
        <v>8.1380208333333339</v>
      </c>
      <c r="S23" s="785" t="s">
        <v>96</v>
      </c>
      <c r="T23" s="785">
        <f>U23/Q22</f>
        <v>9.765625</v>
      </c>
      <c r="U23" s="786">
        <v>6250</v>
      </c>
      <c r="V23" s="778">
        <v>25000</v>
      </c>
      <c r="W23" s="787">
        <f t="shared" si="11"/>
        <v>31250</v>
      </c>
      <c r="X23" s="778">
        <f t="shared" si="4"/>
        <v>25000</v>
      </c>
      <c r="Y23" s="778">
        <f t="shared" si="5"/>
        <v>0</v>
      </c>
    </row>
    <row r="24" spans="1:26" s="769" customFormat="1" ht="15" customHeight="1" thickBot="1" x14ac:dyDescent="0.3">
      <c r="A24" s="803" t="s">
        <v>92</v>
      </c>
      <c r="B24" s="995"/>
      <c r="C24" s="804">
        <f>E24/40</f>
        <v>0.1626984126984127</v>
      </c>
      <c r="D24" s="805" t="s">
        <v>267</v>
      </c>
      <c r="E24" s="806">
        <f>F24/B22</f>
        <v>6.5079365079365079</v>
      </c>
      <c r="F24" s="793">
        <f>V24/3</f>
        <v>68333.333333333328</v>
      </c>
      <c r="G24" s="995"/>
      <c r="H24" s="793">
        <f>J24/40</f>
        <v>5.6944444444444446</v>
      </c>
      <c r="I24" s="793" t="s">
        <v>267</v>
      </c>
      <c r="J24" s="793">
        <f>K24/G22</f>
        <v>227.77777777777777</v>
      </c>
      <c r="K24" s="793">
        <f>V24/3</f>
        <v>68333.333333333328</v>
      </c>
      <c r="L24" s="995"/>
      <c r="M24" s="793">
        <f>O24/40</f>
        <v>56.944444444444471</v>
      </c>
      <c r="N24" s="793" t="s">
        <v>267</v>
      </c>
      <c r="O24" s="793">
        <f>P24/L22</f>
        <v>2277.7777777777787</v>
      </c>
      <c r="P24" s="794">
        <f>V24-F24-K24</f>
        <v>68333.333333333358</v>
      </c>
      <c r="Q24" s="995"/>
      <c r="R24" s="793">
        <f>T24/40</f>
        <v>2.001953125</v>
      </c>
      <c r="S24" s="793" t="s">
        <v>267</v>
      </c>
      <c r="T24" s="793">
        <f>U24/Q22</f>
        <v>80.078125</v>
      </c>
      <c r="U24" s="794">
        <v>51250</v>
      </c>
      <c r="V24" s="778">
        <v>205000</v>
      </c>
      <c r="W24" s="787">
        <f t="shared" si="11"/>
        <v>256250</v>
      </c>
      <c r="X24" s="778">
        <f t="shared" si="4"/>
        <v>205000</v>
      </c>
      <c r="Y24" s="778">
        <f t="shared" si="5"/>
        <v>0</v>
      </c>
    </row>
    <row r="25" spans="1:26" s="51" customFormat="1" ht="4.5" customHeight="1" thickBot="1" x14ac:dyDescent="0.3">
      <c r="A25" s="641"/>
      <c r="B25" s="63"/>
      <c r="C25" s="641"/>
      <c r="D25" s="642"/>
      <c r="E25" s="643"/>
      <c r="F25" s="639"/>
      <c r="G25" s="640"/>
      <c r="H25" s="639"/>
      <c r="I25" s="639"/>
      <c r="J25" s="639"/>
      <c r="K25" s="639"/>
      <c r="L25" s="640"/>
      <c r="M25" s="639"/>
      <c r="N25" s="639"/>
      <c r="O25" s="639"/>
      <c r="P25" s="639"/>
      <c r="Q25" s="640"/>
      <c r="R25" s="639"/>
      <c r="S25" s="639"/>
      <c r="T25" s="639"/>
      <c r="U25" s="639"/>
      <c r="V25" s="69"/>
      <c r="W25" s="133">
        <f t="shared" si="11"/>
        <v>0</v>
      </c>
      <c r="X25" s="30"/>
      <c r="Y25" s="30"/>
    </row>
    <row r="26" spans="1:26" s="779" customFormat="1" ht="79.5" customHeight="1" x14ac:dyDescent="0.25">
      <c r="A26" s="770" t="s">
        <v>97</v>
      </c>
      <c r="B26" s="990">
        <v>10500</v>
      </c>
      <c r="C26" s="771"/>
      <c r="D26" s="772" t="s">
        <v>285</v>
      </c>
      <c r="E26" s="772"/>
      <c r="F26" s="773">
        <f>F27+F28</f>
        <v>240529</v>
      </c>
      <c r="G26" s="990">
        <v>300</v>
      </c>
      <c r="H26" s="774"/>
      <c r="I26" s="775" t="s">
        <v>285</v>
      </c>
      <c r="J26" s="775"/>
      <c r="K26" s="773">
        <f>K27+K28</f>
        <v>240529</v>
      </c>
      <c r="L26" s="990">
        <v>30</v>
      </c>
      <c r="M26" s="774"/>
      <c r="N26" s="775" t="s">
        <v>285</v>
      </c>
      <c r="O26" s="775"/>
      <c r="P26" s="776">
        <f>P27+P28</f>
        <v>240529</v>
      </c>
      <c r="Q26" s="990">
        <v>640</v>
      </c>
      <c r="R26" s="774"/>
      <c r="S26" s="775" t="s">
        <v>285</v>
      </c>
      <c r="T26" s="775"/>
      <c r="U26" s="776">
        <f>U27+U28</f>
        <v>224688.99</v>
      </c>
      <c r="V26" s="777"/>
      <c r="W26" s="777">
        <f t="shared" si="11"/>
        <v>946275.99</v>
      </c>
      <c r="X26" s="778"/>
      <c r="Y26" s="778"/>
      <c r="Z26" s="777">
        <f>F26+K26+P26</f>
        <v>721587</v>
      </c>
    </row>
    <row r="27" spans="1:26" s="769" customFormat="1" ht="27" customHeight="1" x14ac:dyDescent="0.25">
      <c r="A27" s="780" t="s">
        <v>98</v>
      </c>
      <c r="B27" s="991"/>
      <c r="C27" s="781">
        <f>D27/B26</f>
        <v>0.18438095238095237</v>
      </c>
      <c r="D27" s="782">
        <v>1936</v>
      </c>
      <c r="E27" s="782">
        <f>F27/B26</f>
        <v>11.861015873015873</v>
      </c>
      <c r="F27" s="783">
        <f>V27/3</f>
        <v>124540.66666666667</v>
      </c>
      <c r="G27" s="991"/>
      <c r="H27" s="784">
        <f>I27/240</f>
        <v>8.666666666666667E-2</v>
      </c>
      <c r="I27" s="785">
        <v>20.8</v>
      </c>
      <c r="J27" s="785">
        <f>K27/G26</f>
        <v>415.13555555555558</v>
      </c>
      <c r="K27" s="783">
        <f>V27/3</f>
        <v>124540.66666666667</v>
      </c>
      <c r="L27" s="991"/>
      <c r="M27" s="784">
        <f>N27/126</f>
        <v>8.8888888888888878E-2</v>
      </c>
      <c r="N27" s="785">
        <v>11.2</v>
      </c>
      <c r="O27" s="785">
        <f>P27/L26</f>
        <v>4151.3555555555549</v>
      </c>
      <c r="P27" s="786">
        <f>V27-F27-K27</f>
        <v>124540.66666666664</v>
      </c>
      <c r="Q27" s="991"/>
      <c r="R27" s="784">
        <f>S27/Q26</f>
        <v>1.7499999999999998E-2</v>
      </c>
      <c r="S27" s="785">
        <v>11.2</v>
      </c>
      <c r="T27" s="785">
        <f>U27/Q26</f>
        <v>145.92029687500002</v>
      </c>
      <c r="U27" s="786">
        <f>93411-22.01</f>
        <v>93388.99</v>
      </c>
      <c r="V27" s="778">
        <f>373621.99+0.01</f>
        <v>373622</v>
      </c>
      <c r="W27" s="787">
        <f t="shared" si="11"/>
        <v>467010.99</v>
      </c>
      <c r="X27" s="778">
        <f t="shared" ref="X27:X28" si="12">F27+K27+P27</f>
        <v>373622</v>
      </c>
      <c r="Y27" s="778">
        <f t="shared" ref="Y27:Y28" si="13">V27-X27</f>
        <v>0</v>
      </c>
      <c r="Z27" s="778">
        <f>F27+F28+K27+K28+P27+P28+КДЦ!Q15</f>
        <v>3827187.01</v>
      </c>
    </row>
    <row r="28" spans="1:26" s="769" customFormat="1" ht="27" customHeight="1" thickBot="1" x14ac:dyDescent="0.3">
      <c r="A28" s="788" t="s">
        <v>268</v>
      </c>
      <c r="B28" s="992"/>
      <c r="C28" s="789">
        <f>D28/B26</f>
        <v>1.1995238095238094</v>
      </c>
      <c r="D28" s="790">
        <v>12595</v>
      </c>
      <c r="E28" s="790">
        <f>F28/B26</f>
        <v>11.046507936507936</v>
      </c>
      <c r="F28" s="791">
        <f>V28/3</f>
        <v>115988.33333333333</v>
      </c>
      <c r="G28" s="992"/>
      <c r="H28" s="792">
        <f>I28/240</f>
        <v>0.57399999999999995</v>
      </c>
      <c r="I28" s="793">
        <v>137.76</v>
      </c>
      <c r="J28" s="793">
        <f>K28/G26</f>
        <v>386.62777777777774</v>
      </c>
      <c r="K28" s="791">
        <f>V28/3</f>
        <v>115988.33333333333</v>
      </c>
      <c r="L28" s="992"/>
      <c r="M28" s="792">
        <f>N28/126</f>
        <v>0.47015873015873016</v>
      </c>
      <c r="N28" s="793">
        <v>59.24</v>
      </c>
      <c r="O28" s="793">
        <f>P28/L26</f>
        <v>3866.2777777777787</v>
      </c>
      <c r="P28" s="794">
        <f>V28-F28-K28</f>
        <v>115988.33333333336</v>
      </c>
      <c r="Q28" s="992"/>
      <c r="R28" s="792">
        <f>S28/Q26</f>
        <v>9.2562500000000006E-2</v>
      </c>
      <c r="S28" s="793">
        <v>59.24</v>
      </c>
      <c r="T28" s="793">
        <f>U28/Q26</f>
        <v>205.15625</v>
      </c>
      <c r="U28" s="794">
        <v>131300</v>
      </c>
      <c r="V28" s="778">
        <v>347965</v>
      </c>
      <c r="W28" s="787">
        <f t="shared" si="11"/>
        <v>479265</v>
      </c>
      <c r="X28" s="778">
        <f t="shared" si="12"/>
        <v>347965</v>
      </c>
      <c r="Y28" s="778">
        <f t="shared" si="13"/>
        <v>0</v>
      </c>
    </row>
    <row r="29" spans="1:26" ht="6" customHeight="1" thickBot="1" x14ac:dyDescent="0.3">
      <c r="A29" s="644"/>
      <c r="B29" s="597"/>
      <c r="C29" s="645"/>
      <c r="D29" s="645"/>
      <c r="E29" s="645"/>
      <c r="F29" s="599"/>
      <c r="G29" s="600"/>
      <c r="H29" s="599"/>
      <c r="I29" s="599"/>
      <c r="J29" s="599"/>
      <c r="K29" s="601"/>
      <c r="L29" s="602"/>
      <c r="M29" s="601"/>
      <c r="N29" s="601"/>
      <c r="O29" s="601"/>
      <c r="P29" s="646"/>
      <c r="Q29" s="602"/>
      <c r="R29" s="601"/>
      <c r="S29" s="601"/>
      <c r="T29" s="601"/>
      <c r="U29" s="646"/>
      <c r="W29" s="587"/>
      <c r="X29" s="30">
        <f t="shared" ref="X29:X34" si="14">F29+K29+P29</f>
        <v>0</v>
      </c>
      <c r="Y29" s="30">
        <f t="shared" ref="Y29:Y34" si="15">V29-X29</f>
        <v>0</v>
      </c>
    </row>
    <row r="30" spans="1:26" s="685" customFormat="1" ht="27.75" customHeight="1" x14ac:dyDescent="0.25">
      <c r="A30" s="695" t="s">
        <v>101</v>
      </c>
      <c r="B30" s="1000">
        <v>10500</v>
      </c>
      <c r="C30" s="696"/>
      <c r="D30" s="697"/>
      <c r="E30" s="697"/>
      <c r="F30" s="698">
        <f>F31+F32+F33+F34+F35+F36+F37</f>
        <v>1018333.3333333334</v>
      </c>
      <c r="G30" s="1003">
        <v>300</v>
      </c>
      <c r="H30" s="696"/>
      <c r="I30" s="697"/>
      <c r="J30" s="697"/>
      <c r="K30" s="698">
        <f>K31+K32+K33+K34+K35+K36+K37</f>
        <v>18333.333333333336</v>
      </c>
      <c r="L30" s="1006">
        <v>30</v>
      </c>
      <c r="M30" s="699"/>
      <c r="N30" s="700"/>
      <c r="O30" s="700"/>
      <c r="P30" s="586">
        <f>P31+P32+P33+P34+P35+P36+P37</f>
        <v>18333.333333333328</v>
      </c>
      <c r="Q30" s="1006">
        <v>640</v>
      </c>
      <c r="R30" s="699"/>
      <c r="S30" s="700"/>
      <c r="T30" s="700"/>
      <c r="U30" s="586">
        <f>U31+U32+U33+U34+U35+U36+U37</f>
        <v>13750</v>
      </c>
      <c r="V30" s="686"/>
      <c r="W30" s="686">
        <f t="shared" si="11"/>
        <v>1068750</v>
      </c>
      <c r="X30" s="30"/>
      <c r="Y30" s="30"/>
      <c r="Z30" s="686" t="s">
        <v>302</v>
      </c>
    </row>
    <row r="31" spans="1:26" ht="27.75" customHeight="1" x14ac:dyDescent="0.25">
      <c r="A31" s="647" t="s">
        <v>102</v>
      </c>
      <c r="B31" s="1001"/>
      <c r="C31" s="604"/>
      <c r="D31" s="605" t="s">
        <v>103</v>
      </c>
      <c r="E31" s="605"/>
      <c r="F31" s="648"/>
      <c r="G31" s="1004"/>
      <c r="H31" s="604"/>
      <c r="I31" s="605" t="s">
        <v>103</v>
      </c>
      <c r="J31" s="605"/>
      <c r="K31" s="648"/>
      <c r="L31" s="1007"/>
      <c r="M31" s="608"/>
      <c r="N31" s="605" t="s">
        <v>103</v>
      </c>
      <c r="O31" s="590"/>
      <c r="P31" s="591"/>
      <c r="Q31" s="1007"/>
      <c r="R31" s="608"/>
      <c r="S31" s="605" t="s">
        <v>103</v>
      </c>
      <c r="T31" s="590"/>
      <c r="U31" s="591"/>
      <c r="W31" s="587">
        <f t="shared" si="11"/>
        <v>0</v>
      </c>
      <c r="X31" s="30"/>
      <c r="Y31" s="30"/>
    </row>
    <row r="32" spans="1:26" ht="27.75" customHeight="1" x14ac:dyDescent="0.25">
      <c r="A32" s="647" t="s">
        <v>104</v>
      </c>
      <c r="B32" s="1001"/>
      <c r="C32" s="604"/>
      <c r="D32" s="605" t="s">
        <v>82</v>
      </c>
      <c r="E32" s="605"/>
      <c r="F32" s="648"/>
      <c r="G32" s="1004"/>
      <c r="H32" s="604"/>
      <c r="I32" s="605" t="s">
        <v>82</v>
      </c>
      <c r="J32" s="605"/>
      <c r="K32" s="648"/>
      <c r="L32" s="1007"/>
      <c r="M32" s="608"/>
      <c r="N32" s="605" t="s">
        <v>82</v>
      </c>
      <c r="O32" s="590"/>
      <c r="P32" s="591"/>
      <c r="Q32" s="1007"/>
      <c r="R32" s="608"/>
      <c r="S32" s="605" t="s">
        <v>82</v>
      </c>
      <c r="T32" s="590"/>
      <c r="U32" s="591"/>
      <c r="W32" s="587">
        <f t="shared" si="11"/>
        <v>0</v>
      </c>
      <c r="X32" s="30"/>
      <c r="Y32" s="30"/>
    </row>
    <row r="33" spans="1:27" ht="48" customHeight="1" x14ac:dyDescent="0.25">
      <c r="A33" s="647" t="s">
        <v>105</v>
      </c>
      <c r="B33" s="1001"/>
      <c r="C33" s="821">
        <f>3/B30</f>
        <v>2.8571428571428574E-4</v>
      </c>
      <c r="D33" s="605" t="s">
        <v>103</v>
      </c>
      <c r="E33" s="605">
        <f>F33/B30</f>
        <v>0.79365079365079372</v>
      </c>
      <c r="F33" s="648">
        <f>V33/3</f>
        <v>8333.3333333333339</v>
      </c>
      <c r="G33" s="1004"/>
      <c r="H33" s="604">
        <v>4.17</v>
      </c>
      <c r="I33" s="605" t="s">
        <v>103</v>
      </c>
      <c r="J33" s="605">
        <f>K33/G30</f>
        <v>27.777777777777779</v>
      </c>
      <c r="K33" s="648">
        <f>V33/3</f>
        <v>8333.3333333333339</v>
      </c>
      <c r="L33" s="1007"/>
      <c r="M33" s="608">
        <v>7.94</v>
      </c>
      <c r="N33" s="605" t="s">
        <v>103</v>
      </c>
      <c r="O33" s="590">
        <f>P33/L30</f>
        <v>277.77777777777766</v>
      </c>
      <c r="P33" s="591">
        <f>V33-F33-K33</f>
        <v>8333.3333333333303</v>
      </c>
      <c r="Q33" s="1007"/>
      <c r="R33" s="608">
        <v>7.94</v>
      </c>
      <c r="S33" s="605" t="s">
        <v>103</v>
      </c>
      <c r="T33" s="590">
        <f>U33/Q30</f>
        <v>9.765625</v>
      </c>
      <c r="U33" s="591">
        <v>6250</v>
      </c>
      <c r="V33" s="30">
        <v>25000</v>
      </c>
      <c r="W33" s="587">
        <f t="shared" si="11"/>
        <v>31250</v>
      </c>
      <c r="X33" s="30">
        <f t="shared" si="14"/>
        <v>25000</v>
      </c>
      <c r="Y33" s="30">
        <f t="shared" si="15"/>
        <v>0</v>
      </c>
    </row>
    <row r="34" spans="1:27" ht="27.75" customHeight="1" x14ac:dyDescent="0.25">
      <c r="A34" s="647" t="s">
        <v>106</v>
      </c>
      <c r="B34" s="1001"/>
      <c r="C34" s="761">
        <f>1/B30</f>
        <v>9.5238095238095241E-5</v>
      </c>
      <c r="D34" s="605" t="s">
        <v>82</v>
      </c>
      <c r="E34" s="605">
        <f>F34/B30</f>
        <v>0.95238095238095233</v>
      </c>
      <c r="F34" s="648">
        <f>V34/3</f>
        <v>10000</v>
      </c>
      <c r="G34" s="1004"/>
      <c r="H34" s="604">
        <f>1/171</f>
        <v>5.8479532163742687E-3</v>
      </c>
      <c r="I34" s="605" t="s">
        <v>82</v>
      </c>
      <c r="J34" s="605">
        <f>K34/G30</f>
        <v>33.333333333333336</v>
      </c>
      <c r="K34" s="648">
        <f>V34/3</f>
        <v>10000</v>
      </c>
      <c r="L34" s="1007"/>
      <c r="M34" s="608">
        <f>1/50</f>
        <v>0.02</v>
      </c>
      <c r="N34" s="605" t="s">
        <v>82</v>
      </c>
      <c r="O34" s="590">
        <f>P34/L30</f>
        <v>333.33333333333331</v>
      </c>
      <c r="P34" s="591">
        <f>V34-F34-K34</f>
        <v>10000</v>
      </c>
      <c r="Q34" s="1007"/>
      <c r="R34" s="762">
        <f>1/640</f>
        <v>1.5625000000000001E-3</v>
      </c>
      <c r="S34" s="605" t="s">
        <v>82</v>
      </c>
      <c r="T34" s="590">
        <f>U34/Q30</f>
        <v>11.71875</v>
      </c>
      <c r="U34" s="591">
        <v>7500</v>
      </c>
      <c r="V34" s="30">
        <v>30000</v>
      </c>
      <c r="W34" s="587">
        <f t="shared" si="11"/>
        <v>37500</v>
      </c>
      <c r="X34" s="30">
        <f t="shared" si="14"/>
        <v>30000</v>
      </c>
      <c r="Y34" s="30">
        <f t="shared" si="15"/>
        <v>0</v>
      </c>
    </row>
    <row r="35" spans="1:27" ht="27.75" customHeight="1" x14ac:dyDescent="0.25">
      <c r="A35" s="647" t="s">
        <v>107</v>
      </c>
      <c r="B35" s="1001"/>
      <c r="C35" s="604"/>
      <c r="D35" s="605" t="s">
        <v>103</v>
      </c>
      <c r="E35" s="605"/>
      <c r="F35" s="648"/>
      <c r="G35" s="1004"/>
      <c r="H35" s="604"/>
      <c r="I35" s="605" t="s">
        <v>103</v>
      </c>
      <c r="J35" s="605"/>
      <c r="K35" s="648"/>
      <c r="L35" s="1007"/>
      <c r="M35" s="608"/>
      <c r="N35" s="605" t="s">
        <v>103</v>
      </c>
      <c r="O35" s="590"/>
      <c r="P35" s="591"/>
      <c r="Q35" s="1007"/>
      <c r="R35" s="608"/>
      <c r="S35" s="605" t="s">
        <v>103</v>
      </c>
      <c r="T35" s="590"/>
      <c r="U35" s="591"/>
      <c r="W35" s="587">
        <f t="shared" si="11"/>
        <v>0</v>
      </c>
      <c r="X35" s="51"/>
    </row>
    <row r="36" spans="1:27" s="685" customFormat="1" ht="27.75" customHeight="1" x14ac:dyDescent="0.25">
      <c r="A36" s="701" t="s">
        <v>269</v>
      </c>
      <c r="B36" s="1001"/>
      <c r="C36" s="702">
        <f>60/1500</f>
        <v>0.04</v>
      </c>
      <c r="D36" s="703" t="s">
        <v>82</v>
      </c>
      <c r="E36" s="703">
        <f>F36/B30</f>
        <v>95.238095238095241</v>
      </c>
      <c r="F36" s="704">
        <v>1000000</v>
      </c>
      <c r="G36" s="1004"/>
      <c r="H36" s="702"/>
      <c r="I36" s="703" t="s">
        <v>82</v>
      </c>
      <c r="J36" s="703"/>
      <c r="K36" s="704">
        <v>0</v>
      </c>
      <c r="L36" s="1007"/>
      <c r="M36" s="705"/>
      <c r="N36" s="703" t="s">
        <v>82</v>
      </c>
      <c r="O36" s="706"/>
      <c r="P36" s="707">
        <v>0</v>
      </c>
      <c r="Q36" s="1007"/>
      <c r="R36" s="705"/>
      <c r="S36" s="703" t="s">
        <v>82</v>
      </c>
      <c r="T36" s="706"/>
      <c r="U36" s="707">
        <v>0</v>
      </c>
      <c r="V36" s="686"/>
      <c r="W36" s="686">
        <f t="shared" si="11"/>
        <v>1000000</v>
      </c>
      <c r="X36" s="694"/>
    </row>
    <row r="37" spans="1:27" ht="26.25" thickBot="1" x14ac:dyDescent="0.3">
      <c r="A37" s="649" t="s">
        <v>211</v>
      </c>
      <c r="B37" s="1002"/>
      <c r="C37" s="610"/>
      <c r="D37" s="611" t="s">
        <v>82</v>
      </c>
      <c r="E37" s="611"/>
      <c r="F37" s="650"/>
      <c r="G37" s="1005"/>
      <c r="H37" s="610"/>
      <c r="I37" s="611" t="s">
        <v>82</v>
      </c>
      <c r="J37" s="611"/>
      <c r="K37" s="650"/>
      <c r="L37" s="1008"/>
      <c r="M37" s="614"/>
      <c r="N37" s="611" t="s">
        <v>82</v>
      </c>
      <c r="O37" s="594"/>
      <c r="P37" s="595"/>
      <c r="Q37" s="1008"/>
      <c r="R37" s="614"/>
      <c r="S37" s="611" t="s">
        <v>82</v>
      </c>
      <c r="T37" s="594"/>
      <c r="U37" s="595"/>
      <c r="W37" s="587">
        <f t="shared" si="11"/>
        <v>0</v>
      </c>
      <c r="X37" s="51"/>
    </row>
    <row r="38" spans="1:27" ht="15.75" thickBot="1" x14ac:dyDescent="0.3">
      <c r="A38" s="651"/>
      <c r="B38" s="651"/>
      <c r="C38" s="651"/>
      <c r="D38" s="651"/>
      <c r="E38" s="756"/>
      <c r="F38" s="652"/>
      <c r="G38" s="652"/>
      <c r="H38" s="652"/>
      <c r="I38" s="652"/>
      <c r="J38" s="652"/>
      <c r="K38" s="653"/>
      <c r="L38" s="653"/>
      <c r="M38" s="653"/>
      <c r="N38" s="653"/>
      <c r="O38" s="653"/>
      <c r="P38" s="654"/>
      <c r="Q38" s="653"/>
      <c r="R38" s="653"/>
      <c r="S38" s="653"/>
      <c r="T38" s="653"/>
      <c r="U38" s="654"/>
      <c r="W38" s="587">
        <f t="shared" si="11"/>
        <v>0</v>
      </c>
      <c r="X38" s="51"/>
    </row>
    <row r="39" spans="1:27" x14ac:dyDescent="0.25">
      <c r="A39" s="655"/>
      <c r="B39" s="996">
        <v>10500</v>
      </c>
      <c r="C39" s="656"/>
      <c r="D39" s="657"/>
      <c r="E39" s="657"/>
      <c r="F39" s="658">
        <f>F5+F10+F18+F22+F26+F30</f>
        <v>1753006.3333333335</v>
      </c>
      <c r="G39" s="998">
        <v>300</v>
      </c>
      <c r="H39" s="659"/>
      <c r="I39" s="660"/>
      <c r="J39" s="660"/>
      <c r="K39" s="661">
        <f>K5+K10+K18+K22+K26+K30</f>
        <v>753006.33333333337</v>
      </c>
      <c r="L39" s="996">
        <v>50</v>
      </c>
      <c r="M39" s="662"/>
      <c r="N39" s="663"/>
      <c r="O39" s="663"/>
      <c r="P39" s="664">
        <f>P5+P10+P22+P30+P26</f>
        <v>753006.33333333337</v>
      </c>
      <c r="Q39" s="996">
        <v>640</v>
      </c>
      <c r="R39" s="662"/>
      <c r="S39" s="663"/>
      <c r="T39" s="663"/>
      <c r="U39" s="664">
        <f>+U5+U10+U18+U22+U26+U30</f>
        <v>609046.99</v>
      </c>
      <c r="W39" s="587">
        <f t="shared" si="11"/>
        <v>3868065.99</v>
      </c>
      <c r="X39" s="51"/>
      <c r="Z39" s="30"/>
    </row>
    <row r="40" spans="1:27" ht="15.75" thickBot="1" x14ac:dyDescent="0.3">
      <c r="A40" s="665"/>
      <c r="B40" s="997"/>
      <c r="C40" s="666"/>
      <c r="D40" s="667"/>
      <c r="E40" s="755"/>
      <c r="F40" s="668">
        <f>КДЦ!G13+'КДЦ 2'!F18</f>
        <v>2566556.0099999998</v>
      </c>
      <c r="G40" s="999"/>
      <c r="H40" s="669"/>
      <c r="I40" s="670"/>
      <c r="J40" s="670"/>
      <c r="K40" s="671">
        <f>КДЦ!L13+'КДЦ 2'!K18</f>
        <v>501524.95</v>
      </c>
      <c r="L40" s="997"/>
      <c r="M40" s="672"/>
      <c r="N40" s="673"/>
      <c r="O40" s="673"/>
      <c r="P40" s="674">
        <f>КДЦ!Q13+'КДЦ 2'!P18</f>
        <v>320308</v>
      </c>
      <c r="Q40" s="997"/>
      <c r="R40" s="672"/>
      <c r="S40" s="673"/>
      <c r="T40" s="673"/>
      <c r="U40" s="674">
        <f>+КДЦ!V13+'КДЦ 2'!U18</f>
        <v>179848</v>
      </c>
      <c r="W40" s="587">
        <f t="shared" si="11"/>
        <v>3568236.96</v>
      </c>
      <c r="X40" s="51"/>
    </row>
    <row r="41" spans="1:27" ht="15.75" thickBot="1" x14ac:dyDescent="0.3">
      <c r="A41" s="675" t="s">
        <v>69</v>
      </c>
      <c r="B41" s="676"/>
      <c r="C41" s="676"/>
      <c r="D41" s="676"/>
      <c r="E41" s="676">
        <f>F41/B39</f>
        <v>411.38688984126986</v>
      </c>
      <c r="F41" s="677">
        <f>F39+F40</f>
        <v>4319562.3433333337</v>
      </c>
      <c r="G41" s="677"/>
      <c r="H41" s="677"/>
      <c r="I41" s="677"/>
      <c r="J41" s="677">
        <f>K41/G39</f>
        <v>4181.7709444444445</v>
      </c>
      <c r="K41" s="677">
        <f>K39+K40</f>
        <v>1254531.2833333334</v>
      </c>
      <c r="L41" s="677"/>
      <c r="M41" s="677"/>
      <c r="N41" s="677"/>
      <c r="O41" s="677">
        <f>P41/50</f>
        <v>21466.28666666667</v>
      </c>
      <c r="P41" s="677">
        <f>P39+P40</f>
        <v>1073314.3333333335</v>
      </c>
      <c r="Q41" s="677"/>
      <c r="R41" s="677"/>
      <c r="S41" s="677"/>
      <c r="T41" s="677">
        <f>U41/Q39</f>
        <v>1232.6484218749999</v>
      </c>
      <c r="U41" s="677">
        <f>U39+U40</f>
        <v>788894.99</v>
      </c>
      <c r="W41" s="587"/>
      <c r="X41" s="69"/>
      <c r="Z41" s="30"/>
      <c r="AA41" s="30"/>
    </row>
    <row r="42" spans="1:27" ht="15.75" thickBot="1" x14ac:dyDescent="0.3">
      <c r="A42" s="678"/>
      <c r="B42" s="678"/>
      <c r="C42" s="678"/>
      <c r="D42" s="678"/>
      <c r="E42" s="678"/>
      <c r="F42" s="679"/>
      <c r="G42" s="678"/>
      <c r="H42" s="678"/>
      <c r="I42" s="678"/>
      <c r="J42" s="678"/>
      <c r="K42" s="680"/>
      <c r="L42" s="680"/>
      <c r="M42" s="680"/>
      <c r="N42" s="680"/>
      <c r="O42" s="680"/>
      <c r="P42" s="680"/>
      <c r="Q42" s="680"/>
      <c r="R42" s="680"/>
      <c r="S42" s="681"/>
      <c r="T42" s="681"/>
      <c r="W42" s="587"/>
      <c r="X42" s="51"/>
      <c r="Z42" s="30"/>
    </row>
    <row r="43" spans="1:27" ht="15.75" thickBot="1" x14ac:dyDescent="0.3">
      <c r="A43" s="678"/>
      <c r="B43" s="678"/>
      <c r="C43" s="678"/>
      <c r="D43" s="678"/>
      <c r="E43" s="678"/>
      <c r="F43" s="679"/>
      <c r="G43" s="679"/>
      <c r="H43" s="679"/>
      <c r="I43" s="679"/>
      <c r="J43" s="679"/>
      <c r="K43" s="679"/>
      <c r="L43" s="679"/>
      <c r="M43" s="679"/>
      <c r="N43" s="679"/>
      <c r="O43" s="679"/>
      <c r="P43" s="679">
        <f>F41+K41+P41</f>
        <v>6647407.9600000009</v>
      </c>
      <c r="Q43" s="678"/>
      <c r="R43" s="678"/>
      <c r="U43" s="682">
        <f>F41+K41+P41+U41</f>
        <v>7436302.9500000011</v>
      </c>
      <c r="W43" s="575"/>
      <c r="X43" s="51"/>
      <c r="Z43" s="30"/>
      <c r="AA43" s="30">
        <v>6647407</v>
      </c>
    </row>
    <row r="44" spans="1:27" x14ac:dyDescent="0.25">
      <c r="P44" s="30">
        <f>2000000+19300</f>
        <v>2019300</v>
      </c>
      <c r="U44" s="30"/>
      <c r="X44" s="51"/>
      <c r="Z44" s="30"/>
      <c r="AA44" s="30">
        <f>AA43-P43</f>
        <v>-0.96000000089406967</v>
      </c>
    </row>
    <row r="45" spans="1:27" x14ac:dyDescent="0.25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 t="s">
        <v>280</v>
      </c>
      <c r="U45" s="30">
        <v>2000000</v>
      </c>
      <c r="W45" s="30"/>
      <c r="X45" s="51"/>
    </row>
    <row r="46" spans="1:27" x14ac:dyDescent="0.25">
      <c r="K46" s="30"/>
      <c r="P46" s="30">
        <f>P43-P44-0.01</f>
        <v>4628107.9500000011</v>
      </c>
      <c r="U46" s="30"/>
      <c r="W46" s="30"/>
      <c r="X46" s="51"/>
    </row>
    <row r="47" spans="1:27" x14ac:dyDescent="0.25">
      <c r="F47" s="30"/>
      <c r="U47" s="30">
        <f>U43-U45</f>
        <v>5436302.9500000011</v>
      </c>
      <c r="X47" s="51"/>
    </row>
    <row r="48" spans="1:27" x14ac:dyDescent="0.25">
      <c r="W48" s="30"/>
    </row>
  </sheetData>
  <mergeCells count="33">
    <mergeCell ref="B39:B40"/>
    <mergeCell ref="G39:G40"/>
    <mergeCell ref="L39:L40"/>
    <mergeCell ref="Q39:Q40"/>
    <mergeCell ref="B26:B28"/>
    <mergeCell ref="G26:G28"/>
    <mergeCell ref="L26:L28"/>
    <mergeCell ref="Q26:Q28"/>
    <mergeCell ref="B30:B37"/>
    <mergeCell ref="G30:G37"/>
    <mergeCell ref="L30:L37"/>
    <mergeCell ref="Q30:Q37"/>
    <mergeCell ref="B18:B20"/>
    <mergeCell ref="G18:G20"/>
    <mergeCell ref="L18:L20"/>
    <mergeCell ref="Q18:Q20"/>
    <mergeCell ref="B22:B24"/>
    <mergeCell ref="G22:G24"/>
    <mergeCell ref="L22:L24"/>
    <mergeCell ref="Q22:Q24"/>
    <mergeCell ref="B10:B16"/>
    <mergeCell ref="G10:G16"/>
    <mergeCell ref="L10:L16"/>
    <mergeCell ref="Q10:Q16"/>
    <mergeCell ref="B5:B8"/>
    <mergeCell ref="G5:G8"/>
    <mergeCell ref="L5:L8"/>
    <mergeCell ref="Q5:Q8"/>
    <mergeCell ref="A1:P1"/>
    <mergeCell ref="C2:F2"/>
    <mergeCell ref="H2:K2"/>
    <mergeCell ref="M2:P2"/>
    <mergeCell ref="R2:U2"/>
  </mergeCells>
  <pageMargins left="0.25" right="0.25" top="0.75" bottom="0.75" header="0.3" footer="0.3"/>
  <pageSetup scale="49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2</vt:i4>
      </vt:variant>
    </vt:vector>
  </HeadingPairs>
  <TitlesOfParts>
    <vt:vector size="19" baseType="lpstr">
      <vt:lpstr>ДХШ</vt:lpstr>
      <vt:lpstr>ДХШ 2</vt:lpstr>
      <vt:lpstr>ДХШ 3</vt:lpstr>
      <vt:lpstr>Лист1</vt:lpstr>
      <vt:lpstr>Лист2</vt:lpstr>
      <vt:lpstr>Лист3</vt:lpstr>
      <vt:lpstr>КДЦ</vt:lpstr>
      <vt:lpstr>КДЦ 2</vt:lpstr>
      <vt:lpstr>КДЦ3</vt:lpstr>
      <vt:lpstr>ДШИ</vt:lpstr>
      <vt:lpstr>ДШИ 2</vt:lpstr>
      <vt:lpstr>ДШИ 3</vt:lpstr>
      <vt:lpstr>ЦКС</vt:lpstr>
      <vt:lpstr>ЦКС 2</vt:lpstr>
      <vt:lpstr>ЦКС 3</vt:lpstr>
      <vt:lpstr>нормативные 3</vt:lpstr>
      <vt:lpstr>ЦКС 4</vt:lpstr>
      <vt:lpstr>Лист2!Область_печати</vt:lpstr>
      <vt:lpstr>Лист3!Область_печати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2022-01-27T06:35:19Z</dcterms:modified>
</cp:coreProperties>
</file>